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J:\ANUNCIO RESULTADOS-FY2024\H1-2024\Anuncio\"/>
    </mc:Choice>
  </mc:AlternateContent>
  <xr:revisionPtr revIDLastSave="0" documentId="13_ncr:1_{3F0D431F-30E4-472A-90E4-F763137BE901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Portrait" sheetId="10" r:id="rId1"/>
    <sheet name="Main KPIs" sheetId="1" r:id="rId2"/>
    <sheet name="Iberia" sheetId="2" r:id="rId3"/>
    <sheet name="Italy" sheetId="3" r:id="rId4"/>
    <sheet name="France" sheetId="4" r:id="rId5"/>
    <sheet name="Appendix" sheetId="11" r:id="rId6"/>
    <sheet name="P&amp;L" sheetId="6" r:id="rId7"/>
    <sheet name="CF" sheetId="7" r:id="rId8"/>
    <sheet name="BS" sheetId="8" r:id="rId9"/>
    <sheet name="APM" sheetId="9" r:id="rId10"/>
  </sheets>
  <externalReferences>
    <externalReference r:id="rId11"/>
  </externalReferences>
  <definedNames>
    <definedName name="_ftn1" localSheetId="1">'Main KPIs'!$B$26</definedName>
    <definedName name="_ftnref1" localSheetId="1">'Main KPIs'!$B$23</definedName>
    <definedName name="_xlnm.Print_Area" localSheetId="5">Appendix!$B$13:$U$60</definedName>
    <definedName name="_xlnm.Print_Area" localSheetId="1">'Main KPIs'!$B$1:$N$55</definedName>
    <definedName name="_xlnm.Print_Area" localSheetId="0">Portrait!$B$13:$U$60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6" l="1"/>
  <c r="C41" i="9" l="1"/>
  <c r="C39" i="9"/>
  <c r="C38" i="9"/>
  <c r="E31" i="9"/>
  <c r="C30" i="9"/>
  <c r="C17" i="9"/>
  <c r="C42" i="9" s="1"/>
  <c r="C18" i="9"/>
  <c r="C43" i="9" s="1"/>
  <c r="C19" i="9"/>
  <c r="C20" i="9"/>
  <c r="C21" i="9"/>
  <c r="C16" i="9"/>
  <c r="C9" i="9"/>
  <c r="C7" i="9"/>
  <c r="C8" i="9" s="1"/>
  <c r="C27" i="6"/>
  <c r="C26" i="6"/>
  <c r="C22" i="6"/>
  <c r="C21" i="6"/>
  <c r="C18" i="6"/>
  <c r="C12" i="6"/>
  <c r="C10" i="6"/>
  <c r="C9" i="6"/>
  <c r="C8" i="6"/>
  <c r="C7" i="6"/>
  <c r="C6" i="6"/>
  <c r="C44" i="9" l="1"/>
  <c r="C11" i="6"/>
  <c r="F8" i="1" l="1"/>
  <c r="L44" i="9" l="1"/>
  <c r="L43" i="9"/>
  <c r="L42" i="9"/>
  <c r="L41" i="9"/>
  <c r="L40" i="9"/>
  <c r="L39" i="9"/>
  <c r="L38" i="9"/>
  <c r="L30" i="9"/>
  <c r="L21" i="9"/>
  <c r="L20" i="9"/>
  <c r="L19" i="9"/>
  <c r="L18" i="9"/>
  <c r="L17" i="9"/>
  <c r="L16" i="9"/>
  <c r="L9" i="9"/>
  <c r="L8" i="9"/>
  <c r="L7" i="9"/>
  <c r="C29" i="9"/>
  <c r="E42" i="9"/>
  <c r="E40" i="9"/>
  <c r="E16" i="9"/>
  <c r="E20" i="9"/>
  <c r="E18" i="9"/>
  <c r="E17" i="9"/>
  <c r="E9" i="9"/>
  <c r="E8" i="9"/>
  <c r="E7" i="9"/>
  <c r="M7" i="9"/>
  <c r="M8" i="9"/>
  <c r="M9" i="9"/>
  <c r="M16" i="9"/>
  <c r="M17" i="9"/>
  <c r="M18" i="9"/>
  <c r="M19" i="9"/>
  <c r="M20" i="9"/>
  <c r="M40" i="9"/>
  <c r="M42" i="9"/>
  <c r="L18" i="7"/>
  <c r="L17" i="7"/>
  <c r="L16" i="7"/>
  <c r="L15" i="7"/>
  <c r="L14" i="7"/>
  <c r="L13" i="7"/>
  <c r="L12" i="7"/>
  <c r="L11" i="7"/>
  <c r="L10" i="7"/>
  <c r="L9" i="7"/>
  <c r="L8" i="7"/>
  <c r="L7" i="7"/>
  <c r="L27" i="6"/>
  <c r="L26" i="6"/>
  <c r="L25" i="6"/>
  <c r="L24" i="6"/>
  <c r="L22" i="6"/>
  <c r="L21" i="6"/>
  <c r="L20" i="6"/>
  <c r="L19" i="6"/>
  <c r="L18" i="6"/>
  <c r="L17" i="6"/>
  <c r="L16" i="6"/>
  <c r="L15" i="6"/>
  <c r="L14" i="6"/>
  <c r="L12" i="6"/>
  <c r="L11" i="6"/>
  <c r="L10" i="6"/>
  <c r="L9" i="6"/>
  <c r="L8" i="6"/>
  <c r="L7" i="6"/>
  <c r="L6" i="6"/>
  <c r="C23" i="6"/>
  <c r="L23" i="6" s="1"/>
  <c r="C13" i="6"/>
  <c r="L13" i="6" s="1"/>
  <c r="E20" i="6"/>
  <c r="E19" i="6"/>
  <c r="E17" i="6"/>
  <c r="E15" i="6"/>
  <c r="E14" i="6"/>
  <c r="D10" i="4"/>
  <c r="L10" i="4" s="1"/>
  <c r="D9" i="4"/>
  <c r="L9" i="4" s="1"/>
  <c r="D8" i="4"/>
  <c r="L8" i="4" s="1"/>
  <c r="D7" i="4"/>
  <c r="D10" i="3"/>
  <c r="L10" i="3" s="1"/>
  <c r="D9" i="3"/>
  <c r="L9" i="3" s="1"/>
  <c r="D8" i="3"/>
  <c r="L8" i="3" s="1"/>
  <c r="D7" i="3"/>
  <c r="L7" i="3" s="1"/>
  <c r="D18" i="2"/>
  <c r="L18" i="2" s="1"/>
  <c r="D17" i="2"/>
  <c r="L17" i="2" s="1"/>
  <c r="D16" i="2"/>
  <c r="L16" i="2" s="1"/>
  <c r="D15" i="2"/>
  <c r="L15" i="2" s="1"/>
  <c r="D14" i="2"/>
  <c r="L14" i="2" s="1"/>
  <c r="D13" i="2"/>
  <c r="L13" i="2" s="1"/>
  <c r="D12" i="2"/>
  <c r="L12" i="2" s="1"/>
  <c r="D11" i="2"/>
  <c r="L11" i="2" s="1"/>
  <c r="D10" i="2"/>
  <c r="L10" i="2" s="1"/>
  <c r="D9" i="2"/>
  <c r="D8" i="2"/>
  <c r="D7" i="2"/>
  <c r="L7" i="2" s="1"/>
  <c r="F48" i="1"/>
  <c r="F49" i="1"/>
  <c r="F50" i="1"/>
  <c r="F51" i="1"/>
  <c r="F52" i="1"/>
  <c r="F54" i="1"/>
  <c r="F47" i="1"/>
  <c r="F28" i="1"/>
  <c r="F29" i="1"/>
  <c r="F30" i="1"/>
  <c r="F31" i="1"/>
  <c r="F32" i="1"/>
  <c r="F33" i="1"/>
  <c r="F34" i="1"/>
  <c r="F35" i="1"/>
  <c r="F36" i="1"/>
  <c r="F37" i="1"/>
  <c r="F38" i="1"/>
  <c r="F27" i="1"/>
  <c r="F9" i="1"/>
  <c r="F10" i="1"/>
  <c r="F11" i="1"/>
  <c r="F12" i="1"/>
  <c r="F13" i="1"/>
  <c r="F14" i="1"/>
  <c r="F15" i="1"/>
  <c r="F16" i="1"/>
  <c r="F17" i="1"/>
  <c r="F18" i="1"/>
  <c r="F7" i="1"/>
  <c r="D41" i="9"/>
  <c r="M41" i="9" s="1"/>
  <c r="E41" i="9" l="1"/>
  <c r="C31" i="9"/>
  <c r="L31" i="9" s="1"/>
  <c r="L29" i="9"/>
  <c r="L7" i="4"/>
  <c r="L9" i="2"/>
  <c r="L8" i="2"/>
  <c r="D21" i="9"/>
  <c r="E21" i="9" s="1"/>
  <c r="M21" i="9" l="1"/>
  <c r="D38" i="9"/>
  <c r="E55" i="1"/>
  <c r="F55" i="1" s="1"/>
  <c r="M38" i="9" l="1"/>
  <c r="E38" i="9"/>
  <c r="D12" i="6"/>
  <c r="E12" i="6" s="1"/>
  <c r="D27" i="6" l="1"/>
  <c r="E27" i="6" s="1"/>
  <c r="D22" i="6"/>
  <c r="E22" i="6" s="1"/>
  <c r="D21" i="6"/>
  <c r="E21" i="6" s="1"/>
  <c r="D18" i="6"/>
  <c r="E18" i="6" s="1"/>
  <c r="D10" i="6"/>
  <c r="E10" i="6" s="1"/>
  <c r="D9" i="6"/>
  <c r="E9" i="6" s="1"/>
  <c r="D8" i="6"/>
  <c r="E8" i="6" s="1"/>
  <c r="D7" i="6"/>
  <c r="E7" i="6" s="1"/>
  <c r="D6" i="6"/>
  <c r="E6" i="6" s="1"/>
  <c r="D23" i="6" l="1"/>
  <c r="D11" i="6"/>
  <c r="E11" i="6" s="1"/>
  <c r="M7" i="7"/>
  <c r="N7" i="7"/>
  <c r="D43" i="9" l="1"/>
  <c r="D39" i="9"/>
  <c r="M39" i="9" l="1"/>
  <c r="E39" i="9"/>
  <c r="M43" i="9"/>
  <c r="E43" i="9"/>
  <c r="D44" i="9"/>
  <c r="E44" i="9" s="1"/>
  <c r="D30" i="9"/>
  <c r="E30" i="9" s="1"/>
  <c r="D29" i="9"/>
  <c r="M29" i="9" l="1"/>
  <c r="E29" i="9"/>
  <c r="D31" i="9"/>
  <c r="M31" i="9" s="1"/>
  <c r="M30" i="9"/>
  <c r="M44" i="9"/>
  <c r="M23" i="6" l="1"/>
  <c r="N44" i="9"/>
  <c r="N43" i="9"/>
  <c r="N42" i="9"/>
  <c r="N41" i="9"/>
  <c r="N40" i="9"/>
  <c r="N39" i="9"/>
  <c r="N38" i="9"/>
  <c r="N31" i="9"/>
  <c r="N30" i="9"/>
  <c r="N29" i="9"/>
  <c r="N21" i="9"/>
  <c r="N20" i="9"/>
  <c r="N19" i="9"/>
  <c r="N18" i="9"/>
  <c r="N17" i="9"/>
  <c r="N16" i="9"/>
  <c r="N8" i="9"/>
  <c r="N9" i="9"/>
  <c r="N7" i="9"/>
  <c r="D13" i="6" l="1"/>
  <c r="M13" i="6" s="1"/>
  <c r="K8" i="8"/>
  <c r="L8" i="8"/>
  <c r="K9" i="8"/>
  <c r="L9" i="8"/>
  <c r="K10" i="8"/>
  <c r="L10" i="8"/>
  <c r="K11" i="8"/>
  <c r="L11" i="8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5" i="8"/>
  <c r="L25" i="8"/>
  <c r="L7" i="8"/>
  <c r="K7" i="8"/>
  <c r="M8" i="7"/>
  <c r="N8" i="7"/>
  <c r="M9" i="7"/>
  <c r="N9" i="7"/>
  <c r="M10" i="7"/>
  <c r="N10" i="7"/>
  <c r="M11" i="7"/>
  <c r="N11" i="7"/>
  <c r="M12" i="7"/>
  <c r="N12" i="7"/>
  <c r="M13" i="7"/>
  <c r="N13" i="7"/>
  <c r="M14" i="7"/>
  <c r="N14" i="7"/>
  <c r="M15" i="7"/>
  <c r="N15" i="7"/>
  <c r="M16" i="7"/>
  <c r="N16" i="7"/>
  <c r="M17" i="7"/>
  <c r="N17" i="7"/>
  <c r="M18" i="7"/>
  <c r="N18" i="7"/>
  <c r="M7" i="6"/>
  <c r="N7" i="6"/>
  <c r="M8" i="6"/>
  <c r="N8" i="6"/>
  <c r="M9" i="6"/>
  <c r="N9" i="6"/>
  <c r="M10" i="6"/>
  <c r="N10" i="6"/>
  <c r="M11" i="6"/>
  <c r="N11" i="6"/>
  <c r="M12" i="6"/>
  <c r="N12" i="6"/>
  <c r="N13" i="6"/>
  <c r="M14" i="6"/>
  <c r="N14" i="6"/>
  <c r="M15" i="6"/>
  <c r="N15" i="6"/>
  <c r="M16" i="6"/>
  <c r="N16" i="6"/>
  <c r="M17" i="6"/>
  <c r="N17" i="6"/>
  <c r="M18" i="6"/>
  <c r="N18" i="6"/>
  <c r="M19" i="6"/>
  <c r="N19" i="6"/>
  <c r="M20" i="6"/>
  <c r="N20" i="6"/>
  <c r="M21" i="6"/>
  <c r="N21" i="6"/>
  <c r="M22" i="6"/>
  <c r="N22" i="6"/>
  <c r="N23" i="6"/>
  <c r="M24" i="6"/>
  <c r="N24" i="6"/>
  <c r="M25" i="6"/>
  <c r="N25" i="6"/>
  <c r="M26" i="6"/>
  <c r="N26" i="6"/>
  <c r="M27" i="6"/>
  <c r="N27" i="6"/>
  <c r="N6" i="6"/>
  <c r="M6" i="6"/>
  <c r="M55" i="1"/>
  <c r="M54" i="1"/>
  <c r="M53" i="1"/>
  <c r="M52" i="1"/>
  <c r="M51" i="1"/>
  <c r="M50" i="1"/>
  <c r="M49" i="1"/>
  <c r="M48" i="1"/>
  <c r="M47" i="1"/>
  <c r="M38" i="1"/>
  <c r="M37" i="1"/>
  <c r="M36" i="1"/>
  <c r="M35" i="1"/>
  <c r="M34" i="1"/>
  <c r="M33" i="1"/>
  <c r="M32" i="1"/>
  <c r="M31" i="1"/>
  <c r="M30" i="1"/>
  <c r="M29" i="1"/>
  <c r="M28" i="1"/>
  <c r="M27" i="1"/>
  <c r="M8" i="1"/>
  <c r="M9" i="1"/>
  <c r="M10" i="1"/>
  <c r="M11" i="1"/>
  <c r="M12" i="1"/>
  <c r="M13" i="1"/>
  <c r="M14" i="1"/>
  <c r="M15" i="1"/>
  <c r="M16" i="1"/>
  <c r="M17" i="1"/>
  <c r="M18" i="1"/>
  <c r="M7" i="1"/>
  <c r="E10" i="4"/>
  <c r="E9" i="4"/>
  <c r="E8" i="4"/>
  <c r="E7" i="4"/>
  <c r="E10" i="3"/>
  <c r="E9" i="3"/>
  <c r="E8" i="3"/>
  <c r="E7" i="3"/>
  <c r="E14" i="2"/>
  <c r="E15" i="2"/>
  <c r="E16" i="2"/>
  <c r="E17" i="2"/>
  <c r="E18" i="2"/>
  <c r="E13" i="2"/>
  <c r="E8" i="2"/>
  <c r="E9" i="2"/>
  <c r="E10" i="2"/>
  <c r="E11" i="2"/>
  <c r="E12" i="2"/>
  <c r="E7" i="2"/>
  <c r="N55" i="1"/>
  <c r="N54" i="1"/>
  <c r="N53" i="1"/>
  <c r="N52" i="1"/>
  <c r="N51" i="1"/>
  <c r="N50" i="1"/>
  <c r="N49" i="1"/>
  <c r="N48" i="1"/>
  <c r="N47" i="1"/>
  <c r="M9" i="2" l="1"/>
  <c r="F9" i="2"/>
  <c r="M18" i="2"/>
  <c r="F18" i="2"/>
  <c r="M13" i="2"/>
  <c r="F13" i="2"/>
  <c r="F7" i="2"/>
  <c r="N7" i="2" s="1"/>
  <c r="F17" i="2"/>
  <c r="N17" i="2" s="1"/>
  <c r="F7" i="4"/>
  <c r="N7" i="4" s="1"/>
  <c r="M12" i="2"/>
  <c r="F12" i="2"/>
  <c r="F8" i="4"/>
  <c r="N8" i="4" s="1"/>
  <c r="M8" i="2"/>
  <c r="F8" i="2"/>
  <c r="F16" i="2"/>
  <c r="N16" i="2" s="1"/>
  <c r="M11" i="2"/>
  <c r="F11" i="2"/>
  <c r="F15" i="2"/>
  <c r="N15" i="2" s="1"/>
  <c r="F9" i="4"/>
  <c r="N9" i="4" s="1"/>
  <c r="M10" i="2"/>
  <c r="F10" i="2"/>
  <c r="N10" i="2" s="1"/>
  <c r="M14" i="2"/>
  <c r="F14" i="2"/>
  <c r="M10" i="4"/>
  <c r="F10" i="4"/>
  <c r="N10" i="4" s="1"/>
  <c r="M8" i="3"/>
  <c r="F8" i="3"/>
  <c r="F9" i="3"/>
  <c r="N9" i="3" s="1"/>
  <c r="F7" i="3"/>
  <c r="N7" i="3" s="1"/>
  <c r="M10" i="3"/>
  <c r="F10" i="3"/>
  <c r="N10" i="3" s="1"/>
  <c r="M9" i="3"/>
  <c r="N14" i="2"/>
  <c r="N11" i="2"/>
  <c r="N13" i="2"/>
  <c r="N18" i="2"/>
  <c r="N9" i="2"/>
  <c r="M16" i="2"/>
  <c r="M15" i="2"/>
  <c r="M9" i="4"/>
  <c r="M17" i="2"/>
  <c r="M8" i="4"/>
  <c r="M7" i="3"/>
  <c r="N12" i="2"/>
  <c r="N8" i="2"/>
  <c r="M7" i="2"/>
  <c r="M7" i="4"/>
  <c r="N8" i="3"/>
  <c r="N38" i="1"/>
  <c r="N37" i="1"/>
  <c r="N36" i="1"/>
  <c r="N35" i="1"/>
  <c r="N34" i="1"/>
  <c r="N33" i="1"/>
  <c r="N32" i="1"/>
  <c r="N31" i="1"/>
  <c r="N30" i="1"/>
  <c r="N29" i="1"/>
  <c r="N28" i="1"/>
  <c r="N27" i="1"/>
  <c r="N8" i="1"/>
  <c r="N9" i="1"/>
  <c r="N10" i="1"/>
  <c r="N11" i="1"/>
  <c r="N12" i="1"/>
  <c r="N13" i="1"/>
  <c r="N14" i="1"/>
  <c r="N15" i="1"/>
  <c r="N16" i="1"/>
  <c r="N17" i="1"/>
  <c r="N18" i="1"/>
  <c r="N7" i="1"/>
</calcChain>
</file>

<file path=xl/sharedStrings.xml><?xml version="1.0" encoding="utf-8"?>
<sst xmlns="http://schemas.openxmlformats.org/spreadsheetml/2006/main" count="408" uniqueCount="202">
  <si>
    <t>M€</t>
  </si>
  <si>
    <t xml:space="preserve">1 Oct. 2022 – </t>
  </si>
  <si>
    <t>31 Mar. 2023</t>
  </si>
  <si>
    <t>% Variación</t>
  </si>
  <si>
    <t>Iberia</t>
  </si>
  <si>
    <t>Tabaco y Productos Relacionados</t>
  </si>
  <si>
    <t>Transporte</t>
  </si>
  <si>
    <t>Distribución farmacéutica</t>
  </si>
  <si>
    <t>Otros Negocios</t>
  </si>
  <si>
    <t>Ajustes</t>
  </si>
  <si>
    <t>Italia</t>
  </si>
  <si>
    <t>Francia</t>
  </si>
  <si>
    <t>Total Ingresos</t>
  </si>
  <si>
    <t>Evolución de Ingresos (Por segmento y actividad)</t>
  </si>
  <si>
    <t>(-) Amortización Activos Adquisiciones</t>
  </si>
  <si>
    <t>(+/-) Resultado Enajenación y Deterioro</t>
  </si>
  <si>
    <t>(+/-) Resultado por Puesta en Equivalencia y Otros</t>
  </si>
  <si>
    <t xml:space="preserve">Beneficio de Explotación </t>
  </si>
  <si>
    <t xml:space="preserve">Ingresos </t>
  </si>
  <si>
    <t>Ingresos</t>
  </si>
  <si>
    <t>1 Oct. 2022 – 31 Mar. 2023</t>
  </si>
  <si>
    <t>(-) Amort. Activos Adquisiciones</t>
  </si>
  <si>
    <t>(+/-) Rtdo. enajenación y deterioro</t>
  </si>
  <si>
    <t>(+/-) Rtdo. puesta en equivalencia y otros</t>
  </si>
  <si>
    <t>Beneficio de Explotación</t>
  </si>
  <si>
    <t>(+) Ingresos Financieros</t>
  </si>
  <si>
    <t>(-) Gastos Financieros</t>
  </si>
  <si>
    <t>Beneficio antes de Impuestos</t>
  </si>
  <si>
    <t>(-) Impuesto sobre Sociedades</t>
  </si>
  <si>
    <t xml:space="preserve">Tipo Impositivo Efectivo </t>
  </si>
  <si>
    <t>(+/-) Resultado de Operaciones Discontinuadas</t>
  </si>
  <si>
    <t>-</t>
  </si>
  <si>
    <t>(+/-) Otros Ingresos / (Gastos)</t>
  </si>
  <si>
    <t>(-) Intereses Minoritarios</t>
  </si>
  <si>
    <t>Beneficio Neto</t>
  </si>
  <si>
    <t>Variación</t>
  </si>
  <si>
    <t>(M€)</t>
  </si>
  <si>
    <t>EBITDA</t>
  </si>
  <si>
    <t>Reestructuración y Otros Pagos</t>
  </si>
  <si>
    <t>Resultado Financiero</t>
  </si>
  <si>
    <t>Impuestos normalizados</t>
  </si>
  <si>
    <t xml:space="preserve">Inversiones </t>
  </si>
  <si>
    <t>Pagos de alquileres</t>
  </si>
  <si>
    <r>
      <t>Cash Flow</t>
    </r>
    <r>
      <rPr>
        <sz val="9"/>
        <color rgb="FF2800FF"/>
        <rFont val="Arial"/>
        <family val="2"/>
      </rPr>
      <t xml:space="preserve"> </t>
    </r>
    <r>
      <rPr>
        <b/>
        <sz val="9"/>
        <color rgb="FF2800FF"/>
        <rFont val="Arial"/>
        <family val="2"/>
      </rPr>
      <t>Normalizado</t>
    </r>
  </si>
  <si>
    <t>Variación Capital Circulante</t>
  </si>
  <si>
    <t>Efecto de fecha corte en impuestos</t>
  </si>
  <si>
    <t>Desinversiones</t>
  </si>
  <si>
    <t>Adquisición de sociedades (M&amp;A)</t>
  </si>
  <si>
    <t>Cash Flow Libre</t>
  </si>
  <si>
    <t>Activos Tangibles y otros Activos Fijos</t>
  </si>
  <si>
    <t>Activos Financieros Fijos Netos</t>
  </si>
  <si>
    <t>Fondo de Comercio Neto</t>
  </si>
  <si>
    <t>Otros Activos Intangibles</t>
  </si>
  <si>
    <t>Activos por Impuestos Diferidos</t>
  </si>
  <si>
    <t>Inventario Neto</t>
  </si>
  <si>
    <t>Cuentas a Cobrar Netas y Otros</t>
  </si>
  <si>
    <t>Caja y Equivalente</t>
  </si>
  <si>
    <t>Activos mantenidos para la venta</t>
  </si>
  <si>
    <t>Activos Totales</t>
  </si>
  <si>
    <t>Fondos Propios</t>
  </si>
  <si>
    <t>Intereses Minoritarios</t>
  </si>
  <si>
    <t>Pasivos No Corrientes</t>
  </si>
  <si>
    <t>Pasivos por Impuestos Diferidos</t>
  </si>
  <si>
    <t>Deuda Financiera a c/p</t>
  </si>
  <si>
    <t>Provisiones a c/p</t>
  </si>
  <si>
    <t>Deudores Comerciales y Otras Cuentas a Pagar</t>
  </si>
  <si>
    <t>Pasivos vinculados con activos mantenidos para la venta</t>
  </si>
  <si>
    <t>Pasivos Totales</t>
  </si>
  <si>
    <t>Ingresos ordinarios</t>
  </si>
  <si>
    <t>Aprovisionamientos</t>
  </si>
  <si>
    <t xml:space="preserve">Ventas Económicas (Beneficio Bruto) </t>
  </si>
  <si>
    <t>Beneficio de Explotación Ajustado</t>
  </si>
  <si>
    <t>(-) Costes de Reestructuración</t>
  </si>
  <si>
    <t>Margen de Beneficio de Explotación Ajustado sobre Ventas Económicas</t>
  </si>
  <si>
    <t>Ventas Económicas</t>
  </si>
  <si>
    <t>Margen sobre Ventas Económicas</t>
  </si>
  <si>
    <t>Costes operativos</t>
  </si>
  <si>
    <t>Coste de redes logísticas</t>
  </si>
  <si>
    <t>Gastos comerciales</t>
  </si>
  <si>
    <t>Gastos de investigación</t>
  </si>
  <si>
    <t>Gastos de oficinas centrales</t>
  </si>
  <si>
    <t>(-) Costes de reestructuración</t>
  </si>
  <si>
    <t>Costes o Gastos operativos en cuentas de gestión</t>
  </si>
  <si>
    <t>Evolución de Ventas Económicas (Por segmento y actividad)</t>
  </si>
  <si>
    <t xml:space="preserve">Evolución de Beneficio de Explotación Ajustado y Beneficio de Explotación </t>
  </si>
  <si>
    <t>Evolución de Ingresos y Ventas Económicas Iberia</t>
  </si>
  <si>
    <t>Evolución de Ingresos y Ventas Económicas Italia</t>
  </si>
  <si>
    <t>Evolución de Ingresos y Ventas Económicas Francia</t>
  </si>
  <si>
    <t>Cuenta de Pérdidas y Ganancias Consolidada</t>
  </si>
  <si>
    <t>Estado Flujo de Efectivo</t>
  </si>
  <si>
    <t>Balance de Situación</t>
  </si>
  <si>
    <t>(-) Coste operativo de redes logísticas</t>
  </si>
  <si>
    <t>(-) Gastos operativos comerciales</t>
  </si>
  <si>
    <t xml:space="preserve">(-) Gastos operativos de investigación y oficinas centrales                                      </t>
  </si>
  <si>
    <t>Total costes operativos</t>
  </si>
  <si>
    <t>EBIT Ajustado</t>
  </si>
  <si>
    <t>Margen %</t>
  </si>
  <si>
    <t>Total Beneficio de Explotacion Ajustado</t>
  </si>
  <si>
    <r>
      <t>Beneficio de Explotación Ajustado (EBIT Ajustado)</t>
    </r>
    <r>
      <rPr>
        <sz val="12"/>
        <color theme="1"/>
        <rFont val="Arial"/>
        <family val="2"/>
      </rPr>
      <t xml:space="preserve">: </t>
    </r>
  </si>
  <si>
    <r>
      <t> </t>
    </r>
    <r>
      <rPr>
        <b/>
        <sz val="9"/>
        <color rgb="FF2800FF"/>
        <rFont val="Arial"/>
        <family val="2"/>
      </rPr>
      <t>M€</t>
    </r>
  </si>
  <si>
    <t>Balance Sheet</t>
  </si>
  <si>
    <t>Tobacco and related products</t>
  </si>
  <si>
    <t>Transport</t>
  </si>
  <si>
    <t>Pharmaceutical distribution</t>
  </si>
  <si>
    <t>Other businesses</t>
  </si>
  <si>
    <t>Adjustments</t>
  </si>
  <si>
    <t>Italy</t>
  </si>
  <si>
    <t>France</t>
  </si>
  <si>
    <t>Total Revenues</t>
  </si>
  <si>
    <t>Revenues Evolution (By segment and activity)</t>
  </si>
  <si>
    <t>Total Economic Sales</t>
  </si>
  <si>
    <t>Economic Sales Evolution (By segment and activity)</t>
  </si>
  <si>
    <t>% Variation</t>
  </si>
  <si>
    <t>Adjusted EBIT and EBIT Evolution (By segment and activity)</t>
  </si>
  <si>
    <t>Total adjusted EBIT</t>
  </si>
  <si>
    <t>Revenue</t>
  </si>
  <si>
    <t>(-) Depreciation of assets acquired</t>
  </si>
  <si>
    <t>(+/-) Profit/(loss) on disposal and impairment</t>
  </si>
  <si>
    <t>(+/-) Profit/(loss) from equity-accounted companies and      other</t>
  </si>
  <si>
    <t>(+) Financial income</t>
  </si>
  <si>
    <t>(-) Financial expenses</t>
  </si>
  <si>
    <t>Profit/(loss) before tax</t>
  </si>
  <si>
    <t>(-) Corporate income tax</t>
  </si>
  <si>
    <t xml:space="preserve">Effective tax rate </t>
  </si>
  <si>
    <t>(+/-) Profit/(loss) from discontinued operations</t>
  </si>
  <si>
    <t>(+/-) Other income/(expenses)</t>
  </si>
  <si>
    <t>(-) Non-controlling interests</t>
  </si>
  <si>
    <t>Net Profit</t>
  </si>
  <si>
    <t>(-) Operating cost of logistics networks</t>
  </si>
  <si>
    <t>(-) Commercial operating expenses</t>
  </si>
  <si>
    <t xml:space="preserve">(-) Operating expenditure on research and central offices                                           </t>
  </si>
  <si>
    <t>Total Operating Costs</t>
  </si>
  <si>
    <t>Adjusted EBIT</t>
  </si>
  <si>
    <t>Margin %</t>
  </si>
  <si>
    <t>(-) Restructuring costs</t>
  </si>
  <si>
    <t>Economic Sales</t>
  </si>
  <si>
    <t>Restructuring and other payments</t>
  </si>
  <si>
    <t>Net financial income/(expense)</t>
  </si>
  <si>
    <t>Normalised taxes</t>
  </si>
  <si>
    <t xml:space="preserve">Investment </t>
  </si>
  <si>
    <t>Rent payments</t>
  </si>
  <si>
    <t>Normalised Cash Flow</t>
  </si>
  <si>
    <t>Change in working capital</t>
  </si>
  <si>
    <t>Effect of cut-off date on taxes</t>
  </si>
  <si>
    <t>Divestments</t>
  </si>
  <si>
    <t>Company acquisitions (M&amp;A)</t>
  </si>
  <si>
    <t>Free Cash Flow</t>
  </si>
  <si>
    <t>Property, plant and equipment and other fixed assets</t>
  </si>
  <si>
    <t>Net long-term financial investments</t>
  </si>
  <si>
    <t>Net goodwill</t>
  </si>
  <si>
    <t>Other intangible assets</t>
  </si>
  <si>
    <t>Deferred tax assets</t>
  </si>
  <si>
    <t>Net inventory</t>
  </si>
  <si>
    <t>Net receivables and other</t>
  </si>
  <si>
    <t>Cash and cash equivalents</t>
  </si>
  <si>
    <t>Held-for-sale assets</t>
  </si>
  <si>
    <t>Total Assets</t>
  </si>
  <si>
    <t>Shareholders’ funds</t>
  </si>
  <si>
    <t>Non-controlling interests</t>
  </si>
  <si>
    <t>Non-current liabilities</t>
  </si>
  <si>
    <t>Deferred tax liabilities</t>
  </si>
  <si>
    <t>Short-term borrowings</t>
  </si>
  <si>
    <t>Short-term provisions</t>
  </si>
  <si>
    <t>Trade and other receivables</t>
  </si>
  <si>
    <t>Liabilities linked to assets held for sale</t>
  </si>
  <si>
    <t>Total Liabilities</t>
  </si>
  <si>
    <t>Raw materials and consumables</t>
  </si>
  <si>
    <t xml:space="preserve">Gross Profit </t>
  </si>
  <si>
    <t>(+/-) Equity-accounted profit/(loss) and other</t>
  </si>
  <si>
    <t>Economic sales</t>
  </si>
  <si>
    <t>Economic Sales Margin</t>
  </si>
  <si>
    <t>Variation</t>
  </si>
  <si>
    <t>Revenues</t>
  </si>
  <si>
    <t>Revenues and Economic Sales Evolution in Iberia</t>
  </si>
  <si>
    <t>Revenues and Economic Sales Evolution in Italy</t>
  </si>
  <si>
    <t>Revenues and Economic Sales Evolution in France</t>
  </si>
  <si>
    <t>Logistics network costs</t>
  </si>
  <si>
    <t>Commercial expenses</t>
  </si>
  <si>
    <t>Research expenses</t>
  </si>
  <si>
    <t>Head office expenses</t>
  </si>
  <si>
    <t>Operating Costs or Expenses in management accounts</t>
  </si>
  <si>
    <t>Operating costs</t>
  </si>
  <si>
    <t>Consolidated Profit and Loss Account</t>
  </si>
  <si>
    <t>Cash Flow Statement</t>
  </si>
  <si>
    <t>Total  Ventas Económicas</t>
  </si>
  <si>
    <t>n.m.</t>
  </si>
  <si>
    <t>(-) Depreciation of Acquired Assets</t>
  </si>
  <si>
    <t xml:space="preserve"> (-) Amortización Activos Adquisiciones</t>
  </si>
  <si>
    <t>(-) Amortisation of Acquired Assets</t>
  </si>
  <si>
    <t xml:space="preserve">1 Oct. 2023 – </t>
  </si>
  <si>
    <t>31 Mar. 2024</t>
  </si>
  <si>
    <t>1 Oct. 2023 – 31 Mar. 2024</t>
  </si>
  <si>
    <t>Tabaco y Otros Productos</t>
  </si>
  <si>
    <t>Tobacco and other products</t>
  </si>
  <si>
    <t>Tabaco y otros</t>
  </si>
  <si>
    <t>30 p.b.</t>
  </si>
  <si>
    <t>0 p.b.</t>
  </si>
  <si>
    <t>Tabaco y Otros</t>
  </si>
  <si>
    <t>Tobacco and others</t>
  </si>
  <si>
    <t>Operating Profit (EBIT)</t>
  </si>
  <si>
    <t>Operating Profit (EBIT )</t>
  </si>
  <si>
    <t>Adjusted EBIT margin over Economic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</si>
</sst>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#,##0.0;\(#,##0.0\)"/>
    <numFmt numFmtId="167" formatCode="0.0"/>
    <numFmt numFmtId="168" formatCode="_-* #,##0.0\ _€_-;\-* #,##0.0\ _€_-;_-* &quot;-&quot;?\ _€_-;_-@_-"/>
    <numFmt numFmtId="169" formatCode="_-* #,##0_-;\-* #,##0_-;_-* &quot;-&quot;??_-;_-@_-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2800FF"/>
      <name val="Arial"/>
      <family val="2"/>
    </font>
    <font>
      <sz val="9"/>
      <color rgb="FF2800FF"/>
      <name val="Arial"/>
      <family val="2"/>
    </font>
    <font>
      <b/>
      <sz val="9"/>
      <color rgb="FF2800FF"/>
      <name val="Arial"/>
      <family val="2"/>
    </font>
    <font>
      <sz val="12"/>
      <color theme="1"/>
      <name val="Arial"/>
      <family val="2"/>
    </font>
    <font>
      <b/>
      <sz val="9"/>
      <color rgb="FFFC4D0F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FC4D0F"/>
      <name val="Arial"/>
      <family val="2"/>
    </font>
    <font>
      <b/>
      <sz val="12"/>
      <color rgb="FF2800FF"/>
      <name val="Arial"/>
      <family val="2"/>
    </font>
    <font>
      <b/>
      <sz val="9"/>
      <color rgb="FF000000"/>
      <name val="Arial"/>
      <family val="2"/>
    </font>
    <font>
      <sz val="7"/>
      <color theme="1"/>
      <name val="Arial"/>
      <family val="2"/>
    </font>
    <font>
      <u/>
      <sz val="10"/>
      <color theme="10"/>
      <name val="Arial"/>
      <family val="2"/>
    </font>
    <font>
      <b/>
      <sz val="9"/>
      <color theme="1"/>
      <name val="Arial"/>
      <family val="2"/>
    </font>
    <font>
      <i/>
      <sz val="9"/>
      <color rgb="FF000000"/>
      <name val="Arial"/>
      <family val="2"/>
    </font>
    <font>
      <i/>
      <sz val="9"/>
      <color rgb="FFFC4D0F"/>
      <name val="Arial"/>
      <family val="2"/>
    </font>
    <font>
      <i/>
      <sz val="12"/>
      <color rgb="FF000000"/>
      <name val="Arial"/>
      <family val="2"/>
    </font>
    <font>
      <b/>
      <sz val="10"/>
      <color rgb="FF2800FF"/>
      <name val="Arial"/>
      <family val="2"/>
    </font>
    <font>
      <b/>
      <i/>
      <sz val="9"/>
      <color rgb="FF2800FF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FFFFFF"/>
      </right>
      <top/>
      <bottom style="medium">
        <color rgb="FF2800FF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2800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2800FF"/>
      </bottom>
      <diagonal/>
    </border>
    <border>
      <left/>
      <right/>
      <top style="medium">
        <color rgb="FF2800FF"/>
      </top>
      <bottom style="medium">
        <color rgb="FF2800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2800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2800FF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rgb="FF284AD8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/>
  </cellStyleXfs>
  <cellXfs count="141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5" fillId="0" borderId="0" xfId="3" applyAlignment="1">
      <alignment vertical="center"/>
    </xf>
    <xf numFmtId="0" fontId="6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 wrapText="1"/>
    </xf>
    <xf numFmtId="0" fontId="9" fillId="0" borderId="0" xfId="0" applyFont="1"/>
    <xf numFmtId="0" fontId="9" fillId="0" borderId="3" xfId="0" applyFont="1" applyBorder="1" applyAlignment="1">
      <alignment vertical="center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16" fillId="0" borderId="0" xfId="0" applyFont="1" applyAlignment="1">
      <alignment vertical="center" wrapText="1"/>
    </xf>
    <xf numFmtId="0" fontId="16" fillId="0" borderId="0" xfId="0" applyFont="1"/>
    <xf numFmtId="0" fontId="2" fillId="0" borderId="0" xfId="0" applyFont="1"/>
    <xf numFmtId="164" fontId="0" fillId="0" borderId="0" xfId="0" applyNumberFormat="1"/>
    <xf numFmtId="165" fontId="17" fillId="0" borderId="3" xfId="2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21" fillId="0" borderId="3" xfId="0" applyFont="1" applyBorder="1" applyAlignment="1">
      <alignment vertical="center"/>
    </xf>
    <xf numFmtId="0" fontId="9" fillId="0" borderId="18" xfId="0" applyFont="1" applyBorder="1" applyAlignment="1">
      <alignment horizontal="justify" vertical="center"/>
    </xf>
    <xf numFmtId="0" fontId="0" fillId="3" borderId="0" xfId="0" applyFill="1"/>
    <xf numFmtId="0" fontId="9" fillId="3" borderId="0" xfId="0" applyFont="1" applyFill="1"/>
    <xf numFmtId="0" fontId="10" fillId="0" borderId="3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164" fontId="9" fillId="0" borderId="0" xfId="1" applyNumberFormat="1" applyFont="1"/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3"/>
    </xf>
    <xf numFmtId="0" fontId="10" fillId="0" borderId="6" xfId="0" applyFont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1"/>
    </xf>
    <xf numFmtId="9" fontId="9" fillId="0" borderId="0" xfId="2" applyFont="1"/>
    <xf numFmtId="9" fontId="6" fillId="0" borderId="3" xfId="2" applyFont="1" applyBorder="1" applyAlignment="1">
      <alignment horizontal="center" vertical="center" wrapText="1"/>
    </xf>
    <xf numFmtId="9" fontId="6" fillId="0" borderId="3" xfId="2" applyFont="1" applyBorder="1" applyAlignment="1">
      <alignment horizontal="right" vertical="center"/>
    </xf>
    <xf numFmtId="165" fontId="8" fillId="2" borderId="3" xfId="2" applyNumberFormat="1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0" fillId="0" borderId="0" xfId="0" applyNumberFormat="1"/>
    <xf numFmtId="165" fontId="9" fillId="0" borderId="3" xfId="2" applyNumberFormat="1" applyFont="1" applyBorder="1" applyAlignment="1">
      <alignment horizontal="right" vertical="center"/>
    </xf>
    <xf numFmtId="165" fontId="6" fillId="0" borderId="3" xfId="2" applyNumberFormat="1" applyFont="1" applyBorder="1" applyAlignment="1">
      <alignment horizontal="right" vertical="center"/>
    </xf>
    <xf numFmtId="165" fontId="9" fillId="0" borderId="0" xfId="2" applyNumberFormat="1" applyFont="1" applyBorder="1" applyAlignment="1">
      <alignment horizontal="right" vertical="center"/>
    </xf>
    <xf numFmtId="165" fontId="6" fillId="0" borderId="17" xfId="2" applyNumberFormat="1" applyFont="1" applyBorder="1" applyAlignment="1">
      <alignment horizontal="right" vertical="center"/>
    </xf>
    <xf numFmtId="9" fontId="0" fillId="0" borderId="0" xfId="2" applyFont="1"/>
    <xf numFmtId="165" fontId="8" fillId="0" borderId="3" xfId="2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/>
    </xf>
    <xf numFmtId="166" fontId="10" fillId="0" borderId="3" xfId="1" applyNumberFormat="1" applyFont="1" applyBorder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0" fillId="0" borderId="0" xfId="0" applyNumberFormat="1"/>
    <xf numFmtId="167" fontId="6" fillId="0" borderId="3" xfId="0" applyNumberFormat="1" applyFont="1" applyBorder="1" applyAlignment="1">
      <alignment horizontal="center" vertical="center"/>
    </xf>
    <xf numFmtId="167" fontId="3" fillId="0" borderId="0" xfId="0" applyNumberFormat="1" applyFont="1"/>
    <xf numFmtId="167" fontId="0" fillId="0" borderId="0" xfId="2" applyNumberFormat="1" applyFont="1"/>
    <xf numFmtId="167" fontId="0" fillId="0" borderId="0" xfId="0" applyNumberFormat="1"/>
    <xf numFmtId="166" fontId="10" fillId="0" borderId="17" xfId="1" applyNumberFormat="1" applyFont="1" applyBorder="1" applyAlignment="1">
      <alignment horizontal="center" vertical="center"/>
    </xf>
    <xf numFmtId="166" fontId="10" fillId="0" borderId="0" xfId="1" applyNumberFormat="1" applyFont="1" applyBorder="1" applyAlignment="1">
      <alignment horizontal="center" vertical="center"/>
    </xf>
    <xf numFmtId="166" fontId="13" fillId="0" borderId="3" xfId="1" applyNumberFormat="1" applyFont="1" applyBorder="1" applyAlignment="1">
      <alignment horizontal="center" vertical="center"/>
    </xf>
    <xf numFmtId="168" fontId="0" fillId="0" borderId="0" xfId="0" applyNumberFormat="1"/>
    <xf numFmtId="166" fontId="6" fillId="0" borderId="3" xfId="1" applyNumberFormat="1" applyFont="1" applyBorder="1" applyAlignment="1">
      <alignment horizontal="center" vertical="center" wrapText="1"/>
    </xf>
    <xf numFmtId="166" fontId="10" fillId="0" borderId="3" xfId="1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left" vertical="center" wrapText="1" indent="2"/>
    </xf>
    <xf numFmtId="166" fontId="10" fillId="0" borderId="3" xfId="0" applyNumberFormat="1" applyFont="1" applyBorder="1" applyAlignment="1">
      <alignment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66" fontId="9" fillId="0" borderId="3" xfId="1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22" fillId="0" borderId="3" xfId="1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66" fontId="9" fillId="0" borderId="3" xfId="1" applyNumberFormat="1" applyFont="1" applyBorder="1" applyAlignment="1">
      <alignment horizontal="center" vertical="center"/>
    </xf>
    <xf numFmtId="166" fontId="6" fillId="0" borderId="3" xfId="1" applyNumberFormat="1" applyFont="1" applyBorder="1" applyAlignment="1">
      <alignment horizontal="right" vertical="center"/>
    </xf>
    <xf numFmtId="166" fontId="9" fillId="0" borderId="3" xfId="1" applyNumberFormat="1" applyFont="1" applyBorder="1" applyAlignment="1">
      <alignment horizontal="right" vertical="center"/>
    </xf>
    <xf numFmtId="166" fontId="9" fillId="0" borderId="3" xfId="0" applyNumberFormat="1" applyFont="1" applyBorder="1" applyAlignment="1">
      <alignment horizontal="right" vertical="center"/>
    </xf>
    <xf numFmtId="166" fontId="9" fillId="0" borderId="0" xfId="1" applyNumberFormat="1" applyFont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6" fontId="9" fillId="0" borderId="18" xfId="1" applyNumberFormat="1" applyFont="1" applyBorder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166" fontId="24" fillId="0" borderId="3" xfId="1" applyNumberFormat="1" applyFont="1" applyBorder="1" applyAlignment="1">
      <alignment horizontal="center" vertical="center" wrapText="1"/>
    </xf>
    <xf numFmtId="166" fontId="16" fillId="0" borderId="3" xfId="0" applyNumberFormat="1" applyFont="1" applyBorder="1" applyAlignment="1">
      <alignment horizontal="center" vertical="center" wrapText="1"/>
    </xf>
    <xf numFmtId="9" fontId="6" fillId="0" borderId="3" xfId="2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 indent="1"/>
    </xf>
    <xf numFmtId="0" fontId="6" fillId="0" borderId="19" xfId="0" applyFont="1" applyBorder="1" applyAlignment="1">
      <alignment vertical="center"/>
    </xf>
    <xf numFmtId="165" fontId="9" fillId="0" borderId="0" xfId="2" applyNumberFormat="1" applyFont="1" applyBorder="1" applyAlignment="1">
      <alignment vertical="center"/>
    </xf>
    <xf numFmtId="165" fontId="9" fillId="0" borderId="18" xfId="2" applyNumberFormat="1" applyFont="1" applyBorder="1" applyAlignment="1">
      <alignment vertical="center"/>
    </xf>
    <xf numFmtId="165" fontId="6" fillId="0" borderId="0" xfId="2" applyNumberFormat="1" applyFont="1" applyAlignment="1">
      <alignment vertical="center"/>
    </xf>
    <xf numFmtId="9" fontId="9" fillId="0" borderId="0" xfId="2" applyFont="1" applyAlignment="1"/>
    <xf numFmtId="0" fontId="6" fillId="0" borderId="6" xfId="0" applyFont="1" applyBorder="1" applyAlignment="1">
      <alignment vertical="center"/>
    </xf>
    <xf numFmtId="169" fontId="9" fillId="0" borderId="3" xfId="1" applyNumberFormat="1" applyFont="1" applyBorder="1" applyAlignment="1">
      <alignment horizontal="center" vertical="center"/>
    </xf>
    <xf numFmtId="169" fontId="6" fillId="2" borderId="3" xfId="1" applyNumberFormat="1" applyFont="1" applyFill="1" applyBorder="1" applyAlignment="1">
      <alignment horizontal="center" vertical="center"/>
    </xf>
    <xf numFmtId="169" fontId="10" fillId="2" borderId="3" xfId="1" applyNumberFormat="1" applyFont="1" applyFill="1" applyBorder="1" applyAlignment="1">
      <alignment horizontal="center" vertical="center"/>
    </xf>
    <xf numFmtId="165" fontId="6" fillId="0" borderId="3" xfId="2" applyNumberFormat="1" applyFont="1" applyBorder="1" applyAlignment="1">
      <alignment horizontal="center" vertical="center"/>
    </xf>
    <xf numFmtId="165" fontId="9" fillId="0" borderId="3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5" fontId="20" fillId="0" borderId="7" xfId="0" applyNumberFormat="1" applyFont="1" applyBorder="1" applyAlignment="1">
      <alignment horizontal="center" vertical="center"/>
    </xf>
    <xf numFmtId="15" fontId="20" fillId="0" borderId="8" xfId="0" applyNumberFormat="1" applyFont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2" xfId="4" xr:uid="{00000000-0005-0000-0000-000003000000}"/>
    <cellStyle name="Porcentaje" xfId="2" builtinId="5"/>
  </cellStyles>
  <dxfs count="0"/>
  <tableStyles count="0" defaultTableStyle="TableStyleMedium2" defaultPivotStyle="PivotStyleLight16"/>
  <colors>
    <mruColors>
      <color rgb="FF284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455480</xdr:colOff>
      <xdr:row>13</xdr:row>
      <xdr:rowOff>123825</xdr:rowOff>
    </xdr:from>
    <xdr:to>
      <xdr:col>20</xdr:col>
      <xdr:colOff>37650</xdr:colOff>
      <xdr:row>16</xdr:row>
      <xdr:rowOff>102870</xdr:rowOff>
    </xdr:to>
    <xdr:sp macro="" textlink="">
      <xdr:nvSpPr>
        <xdr:cNvPr id="2" name="object 2">
          <a:extLst>
            <a:ext uri="{FF2B5EF4-FFF2-40B4-BE49-F238E27FC236}">
              <a16:creationId xmlns:a16="http://schemas.microsoft.com/office/drawing/2014/main" id="{3053B017-F968-7150-BC83-57BCE97FBC8E}"/>
            </a:ext>
          </a:extLst>
        </xdr:cNvPr>
        <xdr:cNvSpPr/>
      </xdr:nvSpPr>
      <xdr:spPr>
        <a:xfrm>
          <a:off x="13409480" y="2228850"/>
          <a:ext cx="1868170" cy="464820"/>
        </a:xfrm>
        <a:custGeom>
          <a:avLst/>
          <a:gdLst/>
          <a:ahLst/>
          <a:cxnLst/>
          <a:rect l="l" t="t" r="r" b="b"/>
          <a:pathLst>
            <a:path w="1861820" h="467994">
              <a:moveTo>
                <a:pt x="426212" y="97713"/>
              </a:moveTo>
              <a:lnTo>
                <a:pt x="383220" y="104576"/>
              </a:lnTo>
              <a:lnTo>
                <a:pt x="347801" y="123662"/>
              </a:lnTo>
              <a:lnTo>
                <a:pt x="321093" y="152720"/>
              </a:lnTo>
              <a:lnTo>
                <a:pt x="304233" y="189500"/>
              </a:lnTo>
              <a:lnTo>
                <a:pt x="298361" y="231749"/>
              </a:lnTo>
              <a:lnTo>
                <a:pt x="304233" y="274005"/>
              </a:lnTo>
              <a:lnTo>
                <a:pt x="321093" y="310788"/>
              </a:lnTo>
              <a:lnTo>
                <a:pt x="347801" y="339849"/>
              </a:lnTo>
              <a:lnTo>
                <a:pt x="383220" y="358935"/>
              </a:lnTo>
              <a:lnTo>
                <a:pt x="426212" y="365798"/>
              </a:lnTo>
              <a:lnTo>
                <a:pt x="469204" y="358935"/>
              </a:lnTo>
              <a:lnTo>
                <a:pt x="504626" y="339849"/>
              </a:lnTo>
              <a:lnTo>
                <a:pt x="523897" y="318884"/>
              </a:lnTo>
              <a:lnTo>
                <a:pt x="426212" y="318884"/>
              </a:lnTo>
              <a:lnTo>
                <a:pt x="394740" y="311795"/>
              </a:lnTo>
              <a:lnTo>
                <a:pt x="371243" y="292719"/>
              </a:lnTo>
              <a:lnTo>
                <a:pt x="356542" y="264941"/>
              </a:lnTo>
              <a:lnTo>
                <a:pt x="351459" y="231749"/>
              </a:lnTo>
              <a:lnTo>
                <a:pt x="352708" y="214254"/>
              </a:lnTo>
              <a:lnTo>
                <a:pt x="371043" y="169887"/>
              </a:lnTo>
              <a:lnTo>
                <a:pt x="409689" y="146183"/>
              </a:lnTo>
              <a:lnTo>
                <a:pt x="426212" y="144627"/>
              </a:lnTo>
              <a:lnTo>
                <a:pt x="523899" y="144627"/>
              </a:lnTo>
              <a:lnTo>
                <a:pt x="504626" y="123662"/>
              </a:lnTo>
              <a:lnTo>
                <a:pt x="469204" y="104576"/>
              </a:lnTo>
              <a:lnTo>
                <a:pt x="426212" y="97713"/>
              </a:lnTo>
              <a:close/>
            </a:path>
            <a:path w="1861820" h="467994">
              <a:moveTo>
                <a:pt x="523899" y="144627"/>
              </a:moveTo>
              <a:lnTo>
                <a:pt x="426212" y="144627"/>
              </a:lnTo>
              <a:lnTo>
                <a:pt x="442726" y="146183"/>
              </a:lnTo>
              <a:lnTo>
                <a:pt x="457403" y="150880"/>
              </a:lnTo>
              <a:lnTo>
                <a:pt x="489659" y="183325"/>
              </a:lnTo>
              <a:lnTo>
                <a:pt x="500964" y="231749"/>
              </a:lnTo>
              <a:lnTo>
                <a:pt x="495881" y="264941"/>
              </a:lnTo>
              <a:lnTo>
                <a:pt x="481180" y="292719"/>
              </a:lnTo>
              <a:lnTo>
                <a:pt x="457683" y="311795"/>
              </a:lnTo>
              <a:lnTo>
                <a:pt x="426212" y="318884"/>
              </a:lnTo>
              <a:lnTo>
                <a:pt x="523897" y="318884"/>
              </a:lnTo>
              <a:lnTo>
                <a:pt x="531338" y="310788"/>
              </a:lnTo>
              <a:lnTo>
                <a:pt x="548201" y="274005"/>
              </a:lnTo>
              <a:lnTo>
                <a:pt x="554075" y="231749"/>
              </a:lnTo>
              <a:lnTo>
                <a:pt x="548201" y="189500"/>
              </a:lnTo>
              <a:lnTo>
                <a:pt x="531338" y="152720"/>
              </a:lnTo>
              <a:lnTo>
                <a:pt x="523899" y="144627"/>
              </a:lnTo>
              <a:close/>
            </a:path>
            <a:path w="1861820" h="467994">
              <a:moveTo>
                <a:pt x="989063" y="103670"/>
              </a:moveTo>
              <a:lnTo>
                <a:pt x="910767" y="103670"/>
              </a:lnTo>
              <a:lnTo>
                <a:pt x="910767" y="148844"/>
              </a:lnTo>
              <a:lnTo>
                <a:pt x="962698" y="148844"/>
              </a:lnTo>
              <a:lnTo>
                <a:pt x="962698" y="360083"/>
              </a:lnTo>
              <a:lnTo>
                <a:pt x="1014818" y="360083"/>
              </a:lnTo>
              <a:lnTo>
                <a:pt x="1014818" y="129413"/>
              </a:lnTo>
              <a:lnTo>
                <a:pt x="1012794" y="119395"/>
              </a:lnTo>
              <a:lnTo>
                <a:pt x="1007275" y="111212"/>
              </a:lnTo>
              <a:lnTo>
                <a:pt x="999088" y="105693"/>
              </a:lnTo>
              <a:lnTo>
                <a:pt x="989063" y="103670"/>
              </a:lnTo>
              <a:close/>
            </a:path>
            <a:path w="1861820" h="467994">
              <a:moveTo>
                <a:pt x="1114552" y="287134"/>
              </a:moveTo>
              <a:lnTo>
                <a:pt x="1081189" y="317004"/>
              </a:lnTo>
              <a:lnTo>
                <a:pt x="1102534" y="337305"/>
              </a:lnTo>
              <a:lnTo>
                <a:pt x="1129852" y="352844"/>
              </a:lnTo>
              <a:lnTo>
                <a:pt x="1162956" y="362781"/>
              </a:lnTo>
              <a:lnTo>
                <a:pt x="1201661" y="366280"/>
              </a:lnTo>
              <a:lnTo>
                <a:pt x="1248930" y="360572"/>
              </a:lnTo>
              <a:lnTo>
                <a:pt x="1284485" y="344131"/>
              </a:lnTo>
              <a:lnTo>
                <a:pt x="1300899" y="324967"/>
              </a:lnTo>
              <a:lnTo>
                <a:pt x="1202664" y="324967"/>
              </a:lnTo>
              <a:lnTo>
                <a:pt x="1175877" y="322486"/>
              </a:lnTo>
              <a:lnTo>
                <a:pt x="1152636" y="315199"/>
              </a:lnTo>
              <a:lnTo>
                <a:pt x="1132380" y="303338"/>
              </a:lnTo>
              <a:lnTo>
                <a:pt x="1114552" y="287134"/>
              </a:lnTo>
              <a:close/>
            </a:path>
            <a:path w="1861820" h="467994">
              <a:moveTo>
                <a:pt x="1205153" y="97472"/>
              </a:moveTo>
              <a:lnTo>
                <a:pt x="1160313" y="102644"/>
              </a:lnTo>
              <a:lnTo>
                <a:pt x="1125745" y="117944"/>
              </a:lnTo>
              <a:lnTo>
                <a:pt x="1103500" y="143046"/>
              </a:lnTo>
              <a:lnTo>
                <a:pt x="1095629" y="177622"/>
              </a:lnTo>
              <a:lnTo>
                <a:pt x="1103337" y="210478"/>
              </a:lnTo>
              <a:lnTo>
                <a:pt x="1123319" y="231760"/>
              </a:lnTo>
              <a:lnTo>
                <a:pt x="1150862" y="244268"/>
              </a:lnTo>
              <a:lnTo>
                <a:pt x="1181252" y="250799"/>
              </a:lnTo>
              <a:lnTo>
                <a:pt x="1222070" y="257263"/>
              </a:lnTo>
              <a:lnTo>
                <a:pt x="1237458" y="260271"/>
              </a:lnTo>
              <a:lnTo>
                <a:pt x="1249951" y="265609"/>
              </a:lnTo>
              <a:lnTo>
                <a:pt x="1258337" y="274492"/>
              </a:lnTo>
              <a:lnTo>
                <a:pt x="1261402" y="288137"/>
              </a:lnTo>
              <a:lnTo>
                <a:pt x="1257123" y="304602"/>
              </a:lnTo>
              <a:lnTo>
                <a:pt x="1245096" y="316072"/>
              </a:lnTo>
              <a:lnTo>
                <a:pt x="1226538" y="322783"/>
              </a:lnTo>
              <a:lnTo>
                <a:pt x="1202664" y="324967"/>
              </a:lnTo>
              <a:lnTo>
                <a:pt x="1300899" y="324967"/>
              </a:lnTo>
              <a:lnTo>
                <a:pt x="1306879" y="317985"/>
              </a:lnTo>
              <a:lnTo>
                <a:pt x="1314665" y="283159"/>
              </a:lnTo>
              <a:lnTo>
                <a:pt x="1307027" y="250380"/>
              </a:lnTo>
              <a:lnTo>
                <a:pt x="1287160" y="229268"/>
              </a:lnTo>
              <a:lnTo>
                <a:pt x="1259641" y="216931"/>
              </a:lnTo>
              <a:lnTo>
                <a:pt x="1229042" y="210477"/>
              </a:lnTo>
              <a:lnTo>
                <a:pt x="1188224" y="204000"/>
              </a:lnTo>
              <a:lnTo>
                <a:pt x="1173045" y="200999"/>
              </a:lnTo>
              <a:lnTo>
                <a:pt x="1160529" y="195665"/>
              </a:lnTo>
              <a:lnTo>
                <a:pt x="1152027" y="186783"/>
              </a:lnTo>
              <a:lnTo>
                <a:pt x="1148892" y="173139"/>
              </a:lnTo>
              <a:lnTo>
                <a:pt x="1152401" y="158320"/>
              </a:lnTo>
              <a:lnTo>
                <a:pt x="1162772" y="147561"/>
              </a:lnTo>
              <a:lnTo>
                <a:pt x="1179769" y="141002"/>
              </a:lnTo>
              <a:lnTo>
                <a:pt x="1203159" y="138785"/>
              </a:lnTo>
              <a:lnTo>
                <a:pt x="1309734" y="138785"/>
              </a:lnTo>
              <a:lnTo>
                <a:pt x="1310678" y="137795"/>
              </a:lnTo>
              <a:lnTo>
                <a:pt x="1291041" y="120784"/>
              </a:lnTo>
              <a:lnTo>
                <a:pt x="1267064" y="108113"/>
              </a:lnTo>
              <a:lnTo>
                <a:pt x="1238513" y="100202"/>
              </a:lnTo>
              <a:lnTo>
                <a:pt x="1205153" y="97472"/>
              </a:lnTo>
              <a:close/>
            </a:path>
            <a:path w="1861820" h="467994">
              <a:moveTo>
                <a:pt x="1309734" y="138785"/>
              </a:moveTo>
              <a:lnTo>
                <a:pt x="1203159" y="138785"/>
              </a:lnTo>
              <a:lnTo>
                <a:pt x="1230336" y="141439"/>
              </a:lnTo>
              <a:lnTo>
                <a:pt x="1251819" y="148436"/>
              </a:lnTo>
              <a:lnTo>
                <a:pt x="1268264" y="158325"/>
              </a:lnTo>
              <a:lnTo>
                <a:pt x="1280325" y="169659"/>
              </a:lnTo>
              <a:lnTo>
                <a:pt x="1309734" y="138785"/>
              </a:lnTo>
              <a:close/>
            </a:path>
            <a:path w="1861820" h="467994">
              <a:moveTo>
                <a:pt x="980160" y="0"/>
              </a:moveTo>
              <a:lnTo>
                <a:pt x="968291" y="2396"/>
              </a:lnTo>
              <a:lnTo>
                <a:pt x="958599" y="8931"/>
              </a:lnTo>
              <a:lnTo>
                <a:pt x="952064" y="18623"/>
              </a:lnTo>
              <a:lnTo>
                <a:pt x="949667" y="30492"/>
              </a:lnTo>
              <a:lnTo>
                <a:pt x="952064" y="42361"/>
              </a:lnTo>
              <a:lnTo>
                <a:pt x="958599" y="52054"/>
              </a:lnTo>
              <a:lnTo>
                <a:pt x="968291" y="58589"/>
              </a:lnTo>
              <a:lnTo>
                <a:pt x="980160" y="60985"/>
              </a:lnTo>
              <a:lnTo>
                <a:pt x="992029" y="58589"/>
              </a:lnTo>
              <a:lnTo>
                <a:pt x="1001722" y="52054"/>
              </a:lnTo>
              <a:lnTo>
                <a:pt x="1008256" y="42361"/>
              </a:lnTo>
              <a:lnTo>
                <a:pt x="1010653" y="30492"/>
              </a:lnTo>
              <a:lnTo>
                <a:pt x="1008256" y="18623"/>
              </a:lnTo>
              <a:lnTo>
                <a:pt x="1001722" y="8931"/>
              </a:lnTo>
              <a:lnTo>
                <a:pt x="992029" y="2396"/>
              </a:lnTo>
              <a:lnTo>
                <a:pt x="980160" y="0"/>
              </a:lnTo>
              <a:close/>
            </a:path>
            <a:path w="1861820" h="467994">
              <a:moveTo>
                <a:pt x="1464170" y="148793"/>
              </a:moveTo>
              <a:lnTo>
                <a:pt x="1414246" y="148793"/>
              </a:lnTo>
              <a:lnTo>
                <a:pt x="1414246" y="270383"/>
              </a:lnTo>
              <a:lnTo>
                <a:pt x="1420916" y="311026"/>
              </a:lnTo>
              <a:lnTo>
                <a:pt x="1439926" y="341241"/>
              </a:lnTo>
              <a:lnTo>
                <a:pt x="1469774" y="360070"/>
              </a:lnTo>
              <a:lnTo>
                <a:pt x="1508963" y="366560"/>
              </a:lnTo>
              <a:lnTo>
                <a:pt x="1530564" y="364745"/>
              </a:lnTo>
              <a:lnTo>
                <a:pt x="1549817" y="359724"/>
              </a:lnTo>
              <a:lnTo>
                <a:pt x="1566800" y="352126"/>
              </a:lnTo>
              <a:lnTo>
                <a:pt x="1581594" y="342582"/>
              </a:lnTo>
              <a:lnTo>
                <a:pt x="1565117" y="318960"/>
              </a:lnTo>
              <a:lnTo>
                <a:pt x="1508963" y="318960"/>
              </a:lnTo>
              <a:lnTo>
                <a:pt x="1489464" y="315498"/>
              </a:lnTo>
              <a:lnTo>
                <a:pt x="1475455" y="305114"/>
              </a:lnTo>
              <a:lnTo>
                <a:pt x="1467002" y="287810"/>
              </a:lnTo>
              <a:lnTo>
                <a:pt x="1464170" y="263588"/>
              </a:lnTo>
              <a:lnTo>
                <a:pt x="1464170" y="148793"/>
              </a:lnTo>
              <a:close/>
            </a:path>
            <a:path w="1861820" h="467994">
              <a:moveTo>
                <a:pt x="1554149" y="303237"/>
              </a:moveTo>
              <a:lnTo>
                <a:pt x="1546112" y="309182"/>
              </a:lnTo>
              <a:lnTo>
                <a:pt x="1535075" y="314199"/>
              </a:lnTo>
              <a:lnTo>
                <a:pt x="1522279" y="317666"/>
              </a:lnTo>
              <a:lnTo>
                <a:pt x="1508963" y="318960"/>
              </a:lnTo>
              <a:lnTo>
                <a:pt x="1565117" y="318960"/>
              </a:lnTo>
              <a:lnTo>
                <a:pt x="1554149" y="303237"/>
              </a:lnTo>
              <a:close/>
            </a:path>
            <a:path w="1861820" h="467994">
              <a:moveTo>
                <a:pt x="1563776" y="103619"/>
              </a:moveTo>
              <a:lnTo>
                <a:pt x="1350302" y="103619"/>
              </a:lnTo>
              <a:lnTo>
                <a:pt x="1350302" y="148793"/>
              </a:lnTo>
              <a:lnTo>
                <a:pt x="1563776" y="148793"/>
              </a:lnTo>
              <a:lnTo>
                <a:pt x="1563776" y="103619"/>
              </a:lnTo>
              <a:close/>
            </a:path>
            <a:path w="1861820" h="467994">
              <a:moveTo>
                <a:pt x="1464170" y="28105"/>
              </a:moveTo>
              <a:lnTo>
                <a:pt x="1414348" y="28105"/>
              </a:lnTo>
              <a:lnTo>
                <a:pt x="1414246" y="87503"/>
              </a:lnTo>
              <a:lnTo>
                <a:pt x="1413687" y="96481"/>
              </a:lnTo>
              <a:lnTo>
                <a:pt x="1406296" y="103619"/>
              </a:lnTo>
              <a:lnTo>
                <a:pt x="1464170" y="103619"/>
              </a:lnTo>
              <a:lnTo>
                <a:pt x="1464170" y="28105"/>
              </a:lnTo>
              <a:close/>
            </a:path>
            <a:path w="1861820" h="467994">
              <a:moveTo>
                <a:pt x="658710" y="389293"/>
              </a:moveTo>
              <a:lnTo>
                <a:pt x="614705" y="413016"/>
              </a:lnTo>
              <a:lnTo>
                <a:pt x="632107" y="436448"/>
              </a:lnTo>
              <a:lnTo>
                <a:pt x="656501" y="453697"/>
              </a:lnTo>
              <a:lnTo>
                <a:pt x="687371" y="464351"/>
              </a:lnTo>
              <a:lnTo>
                <a:pt x="724204" y="467995"/>
              </a:lnTo>
              <a:lnTo>
                <a:pt x="773860" y="459916"/>
              </a:lnTo>
              <a:lnTo>
                <a:pt x="811842" y="437138"/>
              </a:lnTo>
              <a:lnTo>
                <a:pt x="819378" y="426186"/>
              </a:lnTo>
              <a:lnTo>
                <a:pt x="724700" y="426186"/>
              </a:lnTo>
              <a:lnTo>
                <a:pt x="701275" y="423817"/>
              </a:lnTo>
              <a:lnTo>
                <a:pt x="682309" y="416793"/>
              </a:lnTo>
              <a:lnTo>
                <a:pt x="668041" y="405242"/>
              </a:lnTo>
              <a:lnTo>
                <a:pt x="658710" y="389293"/>
              </a:lnTo>
              <a:close/>
            </a:path>
            <a:path w="1861820" h="467994">
              <a:moveTo>
                <a:pt x="844664" y="323405"/>
              </a:moveTo>
              <a:lnTo>
                <a:pt x="794562" y="323405"/>
              </a:lnTo>
              <a:lnTo>
                <a:pt x="794562" y="356628"/>
              </a:lnTo>
              <a:lnTo>
                <a:pt x="789601" y="385129"/>
              </a:lnTo>
              <a:lnTo>
                <a:pt x="776338" y="407081"/>
              </a:lnTo>
              <a:lnTo>
                <a:pt x="754722" y="421195"/>
              </a:lnTo>
              <a:lnTo>
                <a:pt x="724700" y="426186"/>
              </a:lnTo>
              <a:lnTo>
                <a:pt x="819378" y="426186"/>
              </a:lnTo>
              <a:lnTo>
                <a:pt x="836120" y="401852"/>
              </a:lnTo>
              <a:lnTo>
                <a:pt x="844592" y="356628"/>
              </a:lnTo>
              <a:lnTo>
                <a:pt x="844664" y="323405"/>
              </a:lnTo>
              <a:close/>
            </a:path>
            <a:path w="1861820" h="467994">
              <a:moveTo>
                <a:pt x="711403" y="97472"/>
              </a:moveTo>
              <a:lnTo>
                <a:pt x="664985" y="108046"/>
              </a:lnTo>
              <a:lnTo>
                <a:pt x="629794" y="136985"/>
              </a:lnTo>
              <a:lnTo>
                <a:pt x="607474" y="180111"/>
              </a:lnTo>
              <a:lnTo>
                <a:pt x="599668" y="233248"/>
              </a:lnTo>
              <a:lnTo>
                <a:pt x="607404" y="286023"/>
              </a:lnTo>
              <a:lnTo>
                <a:pt x="629608" y="328355"/>
              </a:lnTo>
              <a:lnTo>
                <a:pt x="664776" y="356499"/>
              </a:lnTo>
              <a:lnTo>
                <a:pt x="711403" y="366712"/>
              </a:lnTo>
              <a:lnTo>
                <a:pt x="737428" y="364146"/>
              </a:lnTo>
              <a:lnTo>
                <a:pt x="760702" y="356247"/>
              </a:lnTo>
              <a:lnTo>
                <a:pt x="780088" y="342773"/>
              </a:lnTo>
              <a:lnTo>
                <a:pt x="794562" y="323405"/>
              </a:lnTo>
              <a:lnTo>
                <a:pt x="844664" y="323405"/>
              </a:lnTo>
              <a:lnTo>
                <a:pt x="844664" y="321525"/>
              </a:lnTo>
              <a:lnTo>
                <a:pt x="722934" y="321525"/>
              </a:lnTo>
              <a:lnTo>
                <a:pt x="693579" y="314163"/>
              </a:lnTo>
              <a:lnTo>
                <a:pt x="671507" y="294381"/>
              </a:lnTo>
              <a:lnTo>
                <a:pt x="657610" y="265638"/>
              </a:lnTo>
              <a:lnTo>
                <a:pt x="652780" y="231394"/>
              </a:lnTo>
              <a:lnTo>
                <a:pt x="657682" y="197308"/>
              </a:lnTo>
              <a:lnTo>
                <a:pt x="671698" y="168914"/>
              </a:lnTo>
              <a:lnTo>
                <a:pt x="693794" y="149481"/>
              </a:lnTo>
              <a:lnTo>
                <a:pt x="722934" y="142278"/>
              </a:lnTo>
              <a:lnTo>
                <a:pt x="844664" y="142278"/>
              </a:lnTo>
              <a:lnTo>
                <a:pt x="844664" y="140779"/>
              </a:lnTo>
              <a:lnTo>
                <a:pt x="794562" y="140779"/>
              </a:lnTo>
              <a:lnTo>
                <a:pt x="781286" y="122252"/>
              </a:lnTo>
              <a:lnTo>
                <a:pt x="762374" y="108672"/>
              </a:lnTo>
              <a:lnTo>
                <a:pt x="738766" y="100319"/>
              </a:lnTo>
              <a:lnTo>
                <a:pt x="711403" y="97472"/>
              </a:lnTo>
              <a:close/>
            </a:path>
            <a:path w="1861820" h="467994">
              <a:moveTo>
                <a:pt x="844664" y="142278"/>
              </a:moveTo>
              <a:lnTo>
                <a:pt x="722934" y="142278"/>
              </a:lnTo>
              <a:lnTo>
                <a:pt x="751695" y="149420"/>
              </a:lnTo>
              <a:lnTo>
                <a:pt x="773461" y="168790"/>
              </a:lnTo>
              <a:lnTo>
                <a:pt x="787246" y="197308"/>
              </a:lnTo>
              <a:lnTo>
                <a:pt x="792060" y="231889"/>
              </a:lnTo>
              <a:lnTo>
                <a:pt x="787317" y="266265"/>
              </a:lnTo>
              <a:lnTo>
                <a:pt x="773652" y="294814"/>
              </a:lnTo>
              <a:lnTo>
                <a:pt x="751909" y="314310"/>
              </a:lnTo>
              <a:lnTo>
                <a:pt x="722934" y="321525"/>
              </a:lnTo>
              <a:lnTo>
                <a:pt x="844664" y="321525"/>
              </a:lnTo>
              <a:lnTo>
                <a:pt x="844664" y="142278"/>
              </a:lnTo>
              <a:close/>
            </a:path>
            <a:path w="1861820" h="467994">
              <a:moveTo>
                <a:pt x="844664" y="103555"/>
              </a:moveTo>
              <a:lnTo>
                <a:pt x="794562" y="103555"/>
              </a:lnTo>
              <a:lnTo>
                <a:pt x="794562" y="140779"/>
              </a:lnTo>
              <a:lnTo>
                <a:pt x="844664" y="140779"/>
              </a:lnTo>
              <a:lnTo>
                <a:pt x="844664" y="103555"/>
              </a:lnTo>
              <a:close/>
            </a:path>
            <a:path w="1861820" h="467994">
              <a:moveTo>
                <a:pt x="86906" y="17805"/>
              </a:moveTo>
              <a:lnTo>
                <a:pt x="0" y="17805"/>
              </a:lnTo>
              <a:lnTo>
                <a:pt x="0" y="62001"/>
              </a:lnTo>
              <a:lnTo>
                <a:pt x="65074" y="62001"/>
              </a:lnTo>
              <a:lnTo>
                <a:pt x="65074" y="263906"/>
              </a:lnTo>
              <a:lnTo>
                <a:pt x="71746" y="304549"/>
              </a:lnTo>
              <a:lnTo>
                <a:pt x="90760" y="334764"/>
              </a:lnTo>
              <a:lnTo>
                <a:pt x="120613" y="353593"/>
              </a:lnTo>
              <a:lnTo>
                <a:pt x="159804" y="360083"/>
              </a:lnTo>
              <a:lnTo>
                <a:pt x="271703" y="360083"/>
              </a:lnTo>
              <a:lnTo>
                <a:pt x="271703" y="312483"/>
              </a:lnTo>
              <a:lnTo>
                <a:pt x="159804" y="312483"/>
              </a:lnTo>
              <a:lnTo>
                <a:pt x="140396" y="309023"/>
              </a:lnTo>
              <a:lnTo>
                <a:pt x="126588" y="298642"/>
              </a:lnTo>
              <a:lnTo>
                <a:pt x="118336" y="281338"/>
              </a:lnTo>
              <a:lnTo>
                <a:pt x="115595" y="257111"/>
              </a:lnTo>
              <a:lnTo>
                <a:pt x="115595" y="46494"/>
              </a:lnTo>
              <a:lnTo>
                <a:pt x="113341" y="35325"/>
              </a:lnTo>
              <a:lnTo>
                <a:pt x="107194" y="26206"/>
              </a:lnTo>
              <a:lnTo>
                <a:pt x="98075" y="20059"/>
              </a:lnTo>
              <a:lnTo>
                <a:pt x="86906" y="17805"/>
              </a:lnTo>
              <a:close/>
            </a:path>
            <a:path w="1861820" h="467994">
              <a:moveTo>
                <a:pt x="1728470" y="97142"/>
              </a:moveTo>
              <a:lnTo>
                <a:pt x="1682052" y="107716"/>
              </a:lnTo>
              <a:lnTo>
                <a:pt x="1646861" y="136653"/>
              </a:lnTo>
              <a:lnTo>
                <a:pt x="1624540" y="179775"/>
              </a:lnTo>
              <a:lnTo>
                <a:pt x="1616735" y="232905"/>
              </a:lnTo>
              <a:lnTo>
                <a:pt x="1624471" y="285682"/>
              </a:lnTo>
              <a:lnTo>
                <a:pt x="1646675" y="328018"/>
              </a:lnTo>
              <a:lnTo>
                <a:pt x="1681843" y="356167"/>
              </a:lnTo>
              <a:lnTo>
                <a:pt x="1728470" y="366382"/>
              </a:lnTo>
              <a:lnTo>
                <a:pt x="1754495" y="363814"/>
              </a:lnTo>
              <a:lnTo>
                <a:pt x="1777750" y="355923"/>
              </a:lnTo>
              <a:lnTo>
                <a:pt x="1797155" y="342432"/>
              </a:lnTo>
              <a:lnTo>
                <a:pt x="1811629" y="323062"/>
              </a:lnTo>
              <a:lnTo>
                <a:pt x="1861731" y="323062"/>
              </a:lnTo>
              <a:lnTo>
                <a:pt x="1861731" y="321183"/>
              </a:lnTo>
              <a:lnTo>
                <a:pt x="1740001" y="321183"/>
              </a:lnTo>
              <a:lnTo>
                <a:pt x="1710646" y="313820"/>
              </a:lnTo>
              <a:lnTo>
                <a:pt x="1688574" y="294038"/>
              </a:lnTo>
              <a:lnTo>
                <a:pt x="1674677" y="265295"/>
              </a:lnTo>
              <a:lnTo>
                <a:pt x="1669846" y="231051"/>
              </a:lnTo>
              <a:lnTo>
                <a:pt x="1674751" y="196965"/>
              </a:lnTo>
              <a:lnTo>
                <a:pt x="1688765" y="168576"/>
              </a:lnTo>
              <a:lnTo>
                <a:pt x="1710860" y="149140"/>
              </a:lnTo>
              <a:lnTo>
                <a:pt x="1740001" y="141935"/>
              </a:lnTo>
              <a:lnTo>
                <a:pt x="1861731" y="141935"/>
              </a:lnTo>
              <a:lnTo>
                <a:pt x="1861731" y="140449"/>
              </a:lnTo>
              <a:lnTo>
                <a:pt x="1811629" y="140449"/>
              </a:lnTo>
              <a:lnTo>
                <a:pt x="1798353" y="121922"/>
              </a:lnTo>
              <a:lnTo>
                <a:pt x="1779441" y="108342"/>
              </a:lnTo>
              <a:lnTo>
                <a:pt x="1755833" y="99988"/>
              </a:lnTo>
              <a:lnTo>
                <a:pt x="1728470" y="97142"/>
              </a:lnTo>
              <a:close/>
            </a:path>
            <a:path w="1861820" h="467994">
              <a:moveTo>
                <a:pt x="1861731" y="323062"/>
              </a:moveTo>
              <a:lnTo>
                <a:pt x="1811629" y="323062"/>
              </a:lnTo>
              <a:lnTo>
                <a:pt x="1811609" y="357200"/>
              </a:lnTo>
              <a:lnTo>
                <a:pt x="1811489" y="358597"/>
              </a:lnTo>
              <a:lnTo>
                <a:pt x="1811426" y="359752"/>
              </a:lnTo>
              <a:lnTo>
                <a:pt x="1861642" y="359752"/>
              </a:lnTo>
              <a:lnTo>
                <a:pt x="1861731" y="323062"/>
              </a:lnTo>
              <a:close/>
            </a:path>
            <a:path w="1861820" h="467994">
              <a:moveTo>
                <a:pt x="1861731" y="141935"/>
              </a:moveTo>
              <a:lnTo>
                <a:pt x="1740001" y="141935"/>
              </a:lnTo>
              <a:lnTo>
                <a:pt x="1768767" y="149077"/>
              </a:lnTo>
              <a:lnTo>
                <a:pt x="1790533" y="168448"/>
              </a:lnTo>
              <a:lnTo>
                <a:pt x="1804315" y="196970"/>
              </a:lnTo>
              <a:lnTo>
                <a:pt x="1809127" y="231546"/>
              </a:lnTo>
              <a:lnTo>
                <a:pt x="1804384" y="265927"/>
              </a:lnTo>
              <a:lnTo>
                <a:pt x="1790719" y="294476"/>
              </a:lnTo>
              <a:lnTo>
                <a:pt x="1768976" y="313969"/>
              </a:lnTo>
              <a:lnTo>
                <a:pt x="1740001" y="321183"/>
              </a:lnTo>
              <a:lnTo>
                <a:pt x="1861731" y="321183"/>
              </a:lnTo>
              <a:lnTo>
                <a:pt x="1861731" y="141935"/>
              </a:lnTo>
              <a:close/>
            </a:path>
            <a:path w="1861820" h="467994">
              <a:moveTo>
                <a:pt x="1861731" y="103212"/>
              </a:moveTo>
              <a:lnTo>
                <a:pt x="1811629" y="103212"/>
              </a:lnTo>
              <a:lnTo>
                <a:pt x="1811629" y="140449"/>
              </a:lnTo>
              <a:lnTo>
                <a:pt x="1861731" y="140449"/>
              </a:lnTo>
              <a:lnTo>
                <a:pt x="1861731" y="103212"/>
              </a:lnTo>
              <a:close/>
            </a:path>
          </a:pathLst>
        </a:custGeom>
        <a:solidFill>
          <a:srgbClr val="2800FF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9</xdr:col>
      <xdr:colOff>625475</xdr:colOff>
      <xdr:row>23</xdr:row>
      <xdr:rowOff>120650</xdr:rowOff>
    </xdr:from>
    <xdr:to>
      <xdr:col>20</xdr:col>
      <xdr:colOff>305243</xdr:colOff>
      <xdr:row>58</xdr:row>
      <xdr:rowOff>54449</xdr:rowOff>
    </xdr:to>
    <xdr:pic>
      <xdr:nvPicPr>
        <xdr:cNvPr id="5" name="object 3">
          <a:extLst>
            <a:ext uri="{FF2B5EF4-FFF2-40B4-BE49-F238E27FC236}">
              <a16:creationId xmlns:a16="http://schemas.microsoft.com/office/drawing/2014/main" id="{D58605CF-02F9-D9F8-FBA7-40381238DAA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83475" y="3844925"/>
          <a:ext cx="8061768" cy="5601174"/>
        </a:xfrm>
        <a:prstGeom prst="rect">
          <a:avLst/>
        </a:prstGeom>
      </xdr:spPr>
    </xdr:pic>
    <xdr:clientData/>
  </xdr:twoCellAnchor>
  <xdr:twoCellAnchor>
    <xdr:from>
      <xdr:col>1</xdr:col>
      <xdr:colOff>619125</xdr:colOff>
      <xdr:row>25</xdr:row>
      <xdr:rowOff>85725</xdr:rowOff>
    </xdr:from>
    <xdr:to>
      <xdr:col>9</xdr:col>
      <xdr:colOff>476000</xdr:colOff>
      <xdr:row>33</xdr:row>
      <xdr:rowOff>98127</xdr:rowOff>
    </xdr:to>
    <xdr:sp macro="" textlink="">
      <xdr:nvSpPr>
        <xdr:cNvPr id="6" name="object 4">
          <a:extLst>
            <a:ext uri="{FF2B5EF4-FFF2-40B4-BE49-F238E27FC236}">
              <a16:creationId xmlns:a16="http://schemas.microsoft.com/office/drawing/2014/main" id="{7F77A22C-213D-C741-FC83-7FD622A3E072}"/>
            </a:ext>
          </a:extLst>
        </xdr:cNvPr>
        <xdr:cNvSpPr txBox="1">
          <a:spLocks noGrp="1"/>
        </xdr:cNvSpPr>
      </xdr:nvSpPr>
      <xdr:spPr>
        <a:xfrm>
          <a:off x="1381125" y="4065058"/>
          <a:ext cx="5952875" cy="1282402"/>
        </a:xfrm>
        <a:prstGeom prst="rect">
          <a:avLst/>
        </a:prstGeom>
      </xdr:spPr>
      <xdr:txBody>
        <a:bodyPr vert="horz" wrap="square" lIns="0" tIns="127000" rIns="0" bIns="0" rtlCol="0">
          <a:spAutoFit/>
        </a:bodyPr>
        <a:lstStyle>
          <a:lvl1pPr>
            <a:defRPr sz="2000" b="1" i="0">
              <a:solidFill>
                <a:srgbClr val="2800FF"/>
              </a:solidFill>
              <a:latin typeface="Arial"/>
              <a:ea typeface="+mj-ea"/>
              <a:cs typeface="Arial"/>
            </a:defRPr>
          </a:lvl1pPr>
        </a:lstStyle>
        <a:p>
          <a:pPr marL="12700" marR="5080">
            <a:lnSpc>
              <a:spcPts val="4500"/>
            </a:lnSpc>
            <a:spcBef>
              <a:spcPts val="1000"/>
            </a:spcBef>
          </a:pP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Financial Results </a:t>
          </a:r>
          <a:br>
            <a:rPr lang="es-ES" sz="4500" b="0" spc="190">
              <a:solidFill>
                <a:srgbClr val="000000"/>
              </a:solidFill>
              <a:latin typeface="Tahoma"/>
              <a:cs typeface="Tahoma"/>
            </a:rPr>
          </a:b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H1-2024</a:t>
          </a:r>
          <a:endParaRPr sz="4500">
            <a:latin typeface="Tahoma"/>
            <a:cs typeface="Tahom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455480</xdr:colOff>
      <xdr:row>13</xdr:row>
      <xdr:rowOff>123825</xdr:rowOff>
    </xdr:from>
    <xdr:to>
      <xdr:col>20</xdr:col>
      <xdr:colOff>37650</xdr:colOff>
      <xdr:row>16</xdr:row>
      <xdr:rowOff>102870</xdr:rowOff>
    </xdr:to>
    <xdr:sp macro="" textlink="">
      <xdr:nvSpPr>
        <xdr:cNvPr id="2" name="object 2">
          <a:extLst>
            <a:ext uri="{FF2B5EF4-FFF2-40B4-BE49-F238E27FC236}">
              <a16:creationId xmlns:a16="http://schemas.microsoft.com/office/drawing/2014/main" id="{C01622E4-B994-4803-80CC-A836447C6662}"/>
            </a:ext>
          </a:extLst>
        </xdr:cNvPr>
        <xdr:cNvSpPr/>
      </xdr:nvSpPr>
      <xdr:spPr>
        <a:xfrm>
          <a:off x="13409480" y="2225675"/>
          <a:ext cx="1868170" cy="471170"/>
        </a:xfrm>
        <a:custGeom>
          <a:avLst/>
          <a:gdLst/>
          <a:ahLst/>
          <a:cxnLst/>
          <a:rect l="l" t="t" r="r" b="b"/>
          <a:pathLst>
            <a:path w="1861820" h="467994">
              <a:moveTo>
                <a:pt x="426212" y="97713"/>
              </a:moveTo>
              <a:lnTo>
                <a:pt x="383220" y="104576"/>
              </a:lnTo>
              <a:lnTo>
                <a:pt x="347801" y="123662"/>
              </a:lnTo>
              <a:lnTo>
                <a:pt x="321093" y="152720"/>
              </a:lnTo>
              <a:lnTo>
                <a:pt x="304233" y="189500"/>
              </a:lnTo>
              <a:lnTo>
                <a:pt x="298361" y="231749"/>
              </a:lnTo>
              <a:lnTo>
                <a:pt x="304233" y="274005"/>
              </a:lnTo>
              <a:lnTo>
                <a:pt x="321093" y="310788"/>
              </a:lnTo>
              <a:lnTo>
                <a:pt x="347801" y="339849"/>
              </a:lnTo>
              <a:lnTo>
                <a:pt x="383220" y="358935"/>
              </a:lnTo>
              <a:lnTo>
                <a:pt x="426212" y="365798"/>
              </a:lnTo>
              <a:lnTo>
                <a:pt x="469204" y="358935"/>
              </a:lnTo>
              <a:lnTo>
                <a:pt x="504626" y="339849"/>
              </a:lnTo>
              <a:lnTo>
                <a:pt x="523897" y="318884"/>
              </a:lnTo>
              <a:lnTo>
                <a:pt x="426212" y="318884"/>
              </a:lnTo>
              <a:lnTo>
                <a:pt x="394740" y="311795"/>
              </a:lnTo>
              <a:lnTo>
                <a:pt x="371243" y="292719"/>
              </a:lnTo>
              <a:lnTo>
                <a:pt x="356542" y="264941"/>
              </a:lnTo>
              <a:lnTo>
                <a:pt x="351459" y="231749"/>
              </a:lnTo>
              <a:lnTo>
                <a:pt x="352708" y="214254"/>
              </a:lnTo>
              <a:lnTo>
                <a:pt x="371043" y="169887"/>
              </a:lnTo>
              <a:lnTo>
                <a:pt x="409689" y="146183"/>
              </a:lnTo>
              <a:lnTo>
                <a:pt x="426212" y="144627"/>
              </a:lnTo>
              <a:lnTo>
                <a:pt x="523899" y="144627"/>
              </a:lnTo>
              <a:lnTo>
                <a:pt x="504626" y="123662"/>
              </a:lnTo>
              <a:lnTo>
                <a:pt x="469204" y="104576"/>
              </a:lnTo>
              <a:lnTo>
                <a:pt x="426212" y="97713"/>
              </a:lnTo>
              <a:close/>
            </a:path>
            <a:path w="1861820" h="467994">
              <a:moveTo>
                <a:pt x="523899" y="144627"/>
              </a:moveTo>
              <a:lnTo>
                <a:pt x="426212" y="144627"/>
              </a:lnTo>
              <a:lnTo>
                <a:pt x="442726" y="146183"/>
              </a:lnTo>
              <a:lnTo>
                <a:pt x="457403" y="150880"/>
              </a:lnTo>
              <a:lnTo>
                <a:pt x="489659" y="183325"/>
              </a:lnTo>
              <a:lnTo>
                <a:pt x="500964" y="231749"/>
              </a:lnTo>
              <a:lnTo>
                <a:pt x="495881" y="264941"/>
              </a:lnTo>
              <a:lnTo>
                <a:pt x="481180" y="292719"/>
              </a:lnTo>
              <a:lnTo>
                <a:pt x="457683" y="311795"/>
              </a:lnTo>
              <a:lnTo>
                <a:pt x="426212" y="318884"/>
              </a:lnTo>
              <a:lnTo>
                <a:pt x="523897" y="318884"/>
              </a:lnTo>
              <a:lnTo>
                <a:pt x="531338" y="310788"/>
              </a:lnTo>
              <a:lnTo>
                <a:pt x="548201" y="274005"/>
              </a:lnTo>
              <a:lnTo>
                <a:pt x="554075" y="231749"/>
              </a:lnTo>
              <a:lnTo>
                <a:pt x="548201" y="189500"/>
              </a:lnTo>
              <a:lnTo>
                <a:pt x="531338" y="152720"/>
              </a:lnTo>
              <a:lnTo>
                <a:pt x="523899" y="144627"/>
              </a:lnTo>
              <a:close/>
            </a:path>
            <a:path w="1861820" h="467994">
              <a:moveTo>
                <a:pt x="989063" y="103670"/>
              </a:moveTo>
              <a:lnTo>
                <a:pt x="910767" y="103670"/>
              </a:lnTo>
              <a:lnTo>
                <a:pt x="910767" y="148844"/>
              </a:lnTo>
              <a:lnTo>
                <a:pt x="962698" y="148844"/>
              </a:lnTo>
              <a:lnTo>
                <a:pt x="962698" y="360083"/>
              </a:lnTo>
              <a:lnTo>
                <a:pt x="1014818" y="360083"/>
              </a:lnTo>
              <a:lnTo>
                <a:pt x="1014818" y="129413"/>
              </a:lnTo>
              <a:lnTo>
                <a:pt x="1012794" y="119395"/>
              </a:lnTo>
              <a:lnTo>
                <a:pt x="1007275" y="111212"/>
              </a:lnTo>
              <a:lnTo>
                <a:pt x="999088" y="105693"/>
              </a:lnTo>
              <a:lnTo>
                <a:pt x="989063" y="103670"/>
              </a:lnTo>
              <a:close/>
            </a:path>
            <a:path w="1861820" h="467994">
              <a:moveTo>
                <a:pt x="1114552" y="287134"/>
              </a:moveTo>
              <a:lnTo>
                <a:pt x="1081189" y="317004"/>
              </a:lnTo>
              <a:lnTo>
                <a:pt x="1102534" y="337305"/>
              </a:lnTo>
              <a:lnTo>
                <a:pt x="1129852" y="352844"/>
              </a:lnTo>
              <a:lnTo>
                <a:pt x="1162956" y="362781"/>
              </a:lnTo>
              <a:lnTo>
                <a:pt x="1201661" y="366280"/>
              </a:lnTo>
              <a:lnTo>
                <a:pt x="1248930" y="360572"/>
              </a:lnTo>
              <a:lnTo>
                <a:pt x="1284485" y="344131"/>
              </a:lnTo>
              <a:lnTo>
                <a:pt x="1300899" y="324967"/>
              </a:lnTo>
              <a:lnTo>
                <a:pt x="1202664" y="324967"/>
              </a:lnTo>
              <a:lnTo>
                <a:pt x="1175877" y="322486"/>
              </a:lnTo>
              <a:lnTo>
                <a:pt x="1152636" y="315199"/>
              </a:lnTo>
              <a:lnTo>
                <a:pt x="1132380" y="303338"/>
              </a:lnTo>
              <a:lnTo>
                <a:pt x="1114552" y="287134"/>
              </a:lnTo>
              <a:close/>
            </a:path>
            <a:path w="1861820" h="467994">
              <a:moveTo>
                <a:pt x="1205153" y="97472"/>
              </a:moveTo>
              <a:lnTo>
                <a:pt x="1160313" y="102644"/>
              </a:lnTo>
              <a:lnTo>
                <a:pt x="1125745" y="117944"/>
              </a:lnTo>
              <a:lnTo>
                <a:pt x="1103500" y="143046"/>
              </a:lnTo>
              <a:lnTo>
                <a:pt x="1095629" y="177622"/>
              </a:lnTo>
              <a:lnTo>
                <a:pt x="1103337" y="210478"/>
              </a:lnTo>
              <a:lnTo>
                <a:pt x="1123319" y="231760"/>
              </a:lnTo>
              <a:lnTo>
                <a:pt x="1150862" y="244268"/>
              </a:lnTo>
              <a:lnTo>
                <a:pt x="1181252" y="250799"/>
              </a:lnTo>
              <a:lnTo>
                <a:pt x="1222070" y="257263"/>
              </a:lnTo>
              <a:lnTo>
                <a:pt x="1237458" y="260271"/>
              </a:lnTo>
              <a:lnTo>
                <a:pt x="1249951" y="265609"/>
              </a:lnTo>
              <a:lnTo>
                <a:pt x="1258337" y="274492"/>
              </a:lnTo>
              <a:lnTo>
                <a:pt x="1261402" y="288137"/>
              </a:lnTo>
              <a:lnTo>
                <a:pt x="1257123" y="304602"/>
              </a:lnTo>
              <a:lnTo>
                <a:pt x="1245096" y="316072"/>
              </a:lnTo>
              <a:lnTo>
                <a:pt x="1226538" y="322783"/>
              </a:lnTo>
              <a:lnTo>
                <a:pt x="1202664" y="324967"/>
              </a:lnTo>
              <a:lnTo>
                <a:pt x="1300899" y="324967"/>
              </a:lnTo>
              <a:lnTo>
                <a:pt x="1306879" y="317985"/>
              </a:lnTo>
              <a:lnTo>
                <a:pt x="1314665" y="283159"/>
              </a:lnTo>
              <a:lnTo>
                <a:pt x="1307027" y="250380"/>
              </a:lnTo>
              <a:lnTo>
                <a:pt x="1287160" y="229268"/>
              </a:lnTo>
              <a:lnTo>
                <a:pt x="1259641" y="216931"/>
              </a:lnTo>
              <a:lnTo>
                <a:pt x="1229042" y="210477"/>
              </a:lnTo>
              <a:lnTo>
                <a:pt x="1188224" y="204000"/>
              </a:lnTo>
              <a:lnTo>
                <a:pt x="1173045" y="200999"/>
              </a:lnTo>
              <a:lnTo>
                <a:pt x="1160529" y="195665"/>
              </a:lnTo>
              <a:lnTo>
                <a:pt x="1152027" y="186783"/>
              </a:lnTo>
              <a:lnTo>
                <a:pt x="1148892" y="173139"/>
              </a:lnTo>
              <a:lnTo>
                <a:pt x="1152401" y="158320"/>
              </a:lnTo>
              <a:lnTo>
                <a:pt x="1162772" y="147561"/>
              </a:lnTo>
              <a:lnTo>
                <a:pt x="1179769" y="141002"/>
              </a:lnTo>
              <a:lnTo>
                <a:pt x="1203159" y="138785"/>
              </a:lnTo>
              <a:lnTo>
                <a:pt x="1309734" y="138785"/>
              </a:lnTo>
              <a:lnTo>
                <a:pt x="1310678" y="137795"/>
              </a:lnTo>
              <a:lnTo>
                <a:pt x="1291041" y="120784"/>
              </a:lnTo>
              <a:lnTo>
                <a:pt x="1267064" y="108113"/>
              </a:lnTo>
              <a:lnTo>
                <a:pt x="1238513" y="100202"/>
              </a:lnTo>
              <a:lnTo>
                <a:pt x="1205153" y="97472"/>
              </a:lnTo>
              <a:close/>
            </a:path>
            <a:path w="1861820" h="467994">
              <a:moveTo>
                <a:pt x="1309734" y="138785"/>
              </a:moveTo>
              <a:lnTo>
                <a:pt x="1203159" y="138785"/>
              </a:lnTo>
              <a:lnTo>
                <a:pt x="1230336" y="141439"/>
              </a:lnTo>
              <a:lnTo>
                <a:pt x="1251819" y="148436"/>
              </a:lnTo>
              <a:lnTo>
                <a:pt x="1268264" y="158325"/>
              </a:lnTo>
              <a:lnTo>
                <a:pt x="1280325" y="169659"/>
              </a:lnTo>
              <a:lnTo>
                <a:pt x="1309734" y="138785"/>
              </a:lnTo>
              <a:close/>
            </a:path>
            <a:path w="1861820" h="467994">
              <a:moveTo>
                <a:pt x="980160" y="0"/>
              </a:moveTo>
              <a:lnTo>
                <a:pt x="968291" y="2396"/>
              </a:lnTo>
              <a:lnTo>
                <a:pt x="958599" y="8931"/>
              </a:lnTo>
              <a:lnTo>
                <a:pt x="952064" y="18623"/>
              </a:lnTo>
              <a:lnTo>
                <a:pt x="949667" y="30492"/>
              </a:lnTo>
              <a:lnTo>
                <a:pt x="952064" y="42361"/>
              </a:lnTo>
              <a:lnTo>
                <a:pt x="958599" y="52054"/>
              </a:lnTo>
              <a:lnTo>
                <a:pt x="968291" y="58589"/>
              </a:lnTo>
              <a:lnTo>
                <a:pt x="980160" y="60985"/>
              </a:lnTo>
              <a:lnTo>
                <a:pt x="992029" y="58589"/>
              </a:lnTo>
              <a:lnTo>
                <a:pt x="1001722" y="52054"/>
              </a:lnTo>
              <a:lnTo>
                <a:pt x="1008256" y="42361"/>
              </a:lnTo>
              <a:lnTo>
                <a:pt x="1010653" y="30492"/>
              </a:lnTo>
              <a:lnTo>
                <a:pt x="1008256" y="18623"/>
              </a:lnTo>
              <a:lnTo>
                <a:pt x="1001722" y="8931"/>
              </a:lnTo>
              <a:lnTo>
                <a:pt x="992029" y="2396"/>
              </a:lnTo>
              <a:lnTo>
                <a:pt x="980160" y="0"/>
              </a:lnTo>
              <a:close/>
            </a:path>
            <a:path w="1861820" h="467994">
              <a:moveTo>
                <a:pt x="1464170" y="148793"/>
              </a:moveTo>
              <a:lnTo>
                <a:pt x="1414246" y="148793"/>
              </a:lnTo>
              <a:lnTo>
                <a:pt x="1414246" y="270383"/>
              </a:lnTo>
              <a:lnTo>
                <a:pt x="1420916" y="311026"/>
              </a:lnTo>
              <a:lnTo>
                <a:pt x="1439926" y="341241"/>
              </a:lnTo>
              <a:lnTo>
                <a:pt x="1469774" y="360070"/>
              </a:lnTo>
              <a:lnTo>
                <a:pt x="1508963" y="366560"/>
              </a:lnTo>
              <a:lnTo>
                <a:pt x="1530564" y="364745"/>
              </a:lnTo>
              <a:lnTo>
                <a:pt x="1549817" y="359724"/>
              </a:lnTo>
              <a:lnTo>
                <a:pt x="1566800" y="352126"/>
              </a:lnTo>
              <a:lnTo>
                <a:pt x="1581594" y="342582"/>
              </a:lnTo>
              <a:lnTo>
                <a:pt x="1565117" y="318960"/>
              </a:lnTo>
              <a:lnTo>
                <a:pt x="1508963" y="318960"/>
              </a:lnTo>
              <a:lnTo>
                <a:pt x="1489464" y="315498"/>
              </a:lnTo>
              <a:lnTo>
                <a:pt x="1475455" y="305114"/>
              </a:lnTo>
              <a:lnTo>
                <a:pt x="1467002" y="287810"/>
              </a:lnTo>
              <a:lnTo>
                <a:pt x="1464170" y="263588"/>
              </a:lnTo>
              <a:lnTo>
                <a:pt x="1464170" y="148793"/>
              </a:lnTo>
              <a:close/>
            </a:path>
            <a:path w="1861820" h="467994">
              <a:moveTo>
                <a:pt x="1554149" y="303237"/>
              </a:moveTo>
              <a:lnTo>
                <a:pt x="1546112" y="309182"/>
              </a:lnTo>
              <a:lnTo>
                <a:pt x="1535075" y="314199"/>
              </a:lnTo>
              <a:lnTo>
                <a:pt x="1522279" y="317666"/>
              </a:lnTo>
              <a:lnTo>
                <a:pt x="1508963" y="318960"/>
              </a:lnTo>
              <a:lnTo>
                <a:pt x="1565117" y="318960"/>
              </a:lnTo>
              <a:lnTo>
                <a:pt x="1554149" y="303237"/>
              </a:lnTo>
              <a:close/>
            </a:path>
            <a:path w="1861820" h="467994">
              <a:moveTo>
                <a:pt x="1563776" y="103619"/>
              </a:moveTo>
              <a:lnTo>
                <a:pt x="1350302" y="103619"/>
              </a:lnTo>
              <a:lnTo>
                <a:pt x="1350302" y="148793"/>
              </a:lnTo>
              <a:lnTo>
                <a:pt x="1563776" y="148793"/>
              </a:lnTo>
              <a:lnTo>
                <a:pt x="1563776" y="103619"/>
              </a:lnTo>
              <a:close/>
            </a:path>
            <a:path w="1861820" h="467994">
              <a:moveTo>
                <a:pt x="1464170" y="28105"/>
              </a:moveTo>
              <a:lnTo>
                <a:pt x="1414348" y="28105"/>
              </a:lnTo>
              <a:lnTo>
                <a:pt x="1414246" y="87503"/>
              </a:lnTo>
              <a:lnTo>
                <a:pt x="1413687" y="96481"/>
              </a:lnTo>
              <a:lnTo>
                <a:pt x="1406296" y="103619"/>
              </a:lnTo>
              <a:lnTo>
                <a:pt x="1464170" y="103619"/>
              </a:lnTo>
              <a:lnTo>
                <a:pt x="1464170" y="28105"/>
              </a:lnTo>
              <a:close/>
            </a:path>
            <a:path w="1861820" h="467994">
              <a:moveTo>
                <a:pt x="658710" y="389293"/>
              </a:moveTo>
              <a:lnTo>
                <a:pt x="614705" y="413016"/>
              </a:lnTo>
              <a:lnTo>
                <a:pt x="632107" y="436448"/>
              </a:lnTo>
              <a:lnTo>
                <a:pt x="656501" y="453697"/>
              </a:lnTo>
              <a:lnTo>
                <a:pt x="687371" y="464351"/>
              </a:lnTo>
              <a:lnTo>
                <a:pt x="724204" y="467995"/>
              </a:lnTo>
              <a:lnTo>
                <a:pt x="773860" y="459916"/>
              </a:lnTo>
              <a:lnTo>
                <a:pt x="811842" y="437138"/>
              </a:lnTo>
              <a:lnTo>
                <a:pt x="819378" y="426186"/>
              </a:lnTo>
              <a:lnTo>
                <a:pt x="724700" y="426186"/>
              </a:lnTo>
              <a:lnTo>
                <a:pt x="701275" y="423817"/>
              </a:lnTo>
              <a:lnTo>
                <a:pt x="682309" y="416793"/>
              </a:lnTo>
              <a:lnTo>
                <a:pt x="668041" y="405242"/>
              </a:lnTo>
              <a:lnTo>
                <a:pt x="658710" y="389293"/>
              </a:lnTo>
              <a:close/>
            </a:path>
            <a:path w="1861820" h="467994">
              <a:moveTo>
                <a:pt x="844664" y="323405"/>
              </a:moveTo>
              <a:lnTo>
                <a:pt x="794562" y="323405"/>
              </a:lnTo>
              <a:lnTo>
                <a:pt x="794562" y="356628"/>
              </a:lnTo>
              <a:lnTo>
                <a:pt x="789601" y="385129"/>
              </a:lnTo>
              <a:lnTo>
                <a:pt x="776338" y="407081"/>
              </a:lnTo>
              <a:lnTo>
                <a:pt x="754722" y="421195"/>
              </a:lnTo>
              <a:lnTo>
                <a:pt x="724700" y="426186"/>
              </a:lnTo>
              <a:lnTo>
                <a:pt x="819378" y="426186"/>
              </a:lnTo>
              <a:lnTo>
                <a:pt x="836120" y="401852"/>
              </a:lnTo>
              <a:lnTo>
                <a:pt x="844592" y="356628"/>
              </a:lnTo>
              <a:lnTo>
                <a:pt x="844664" y="323405"/>
              </a:lnTo>
              <a:close/>
            </a:path>
            <a:path w="1861820" h="467994">
              <a:moveTo>
                <a:pt x="711403" y="97472"/>
              </a:moveTo>
              <a:lnTo>
                <a:pt x="664985" y="108046"/>
              </a:lnTo>
              <a:lnTo>
                <a:pt x="629794" y="136985"/>
              </a:lnTo>
              <a:lnTo>
                <a:pt x="607474" y="180111"/>
              </a:lnTo>
              <a:lnTo>
                <a:pt x="599668" y="233248"/>
              </a:lnTo>
              <a:lnTo>
                <a:pt x="607404" y="286023"/>
              </a:lnTo>
              <a:lnTo>
                <a:pt x="629608" y="328355"/>
              </a:lnTo>
              <a:lnTo>
                <a:pt x="664776" y="356499"/>
              </a:lnTo>
              <a:lnTo>
                <a:pt x="711403" y="366712"/>
              </a:lnTo>
              <a:lnTo>
                <a:pt x="737428" y="364146"/>
              </a:lnTo>
              <a:lnTo>
                <a:pt x="760702" y="356247"/>
              </a:lnTo>
              <a:lnTo>
                <a:pt x="780088" y="342773"/>
              </a:lnTo>
              <a:lnTo>
                <a:pt x="794562" y="323405"/>
              </a:lnTo>
              <a:lnTo>
                <a:pt x="844664" y="323405"/>
              </a:lnTo>
              <a:lnTo>
                <a:pt x="844664" y="321525"/>
              </a:lnTo>
              <a:lnTo>
                <a:pt x="722934" y="321525"/>
              </a:lnTo>
              <a:lnTo>
                <a:pt x="693579" y="314163"/>
              </a:lnTo>
              <a:lnTo>
                <a:pt x="671507" y="294381"/>
              </a:lnTo>
              <a:lnTo>
                <a:pt x="657610" y="265638"/>
              </a:lnTo>
              <a:lnTo>
                <a:pt x="652780" y="231394"/>
              </a:lnTo>
              <a:lnTo>
                <a:pt x="657682" y="197308"/>
              </a:lnTo>
              <a:lnTo>
                <a:pt x="671698" y="168914"/>
              </a:lnTo>
              <a:lnTo>
                <a:pt x="693794" y="149481"/>
              </a:lnTo>
              <a:lnTo>
                <a:pt x="722934" y="142278"/>
              </a:lnTo>
              <a:lnTo>
                <a:pt x="844664" y="142278"/>
              </a:lnTo>
              <a:lnTo>
                <a:pt x="844664" y="140779"/>
              </a:lnTo>
              <a:lnTo>
                <a:pt x="794562" y="140779"/>
              </a:lnTo>
              <a:lnTo>
                <a:pt x="781286" y="122252"/>
              </a:lnTo>
              <a:lnTo>
                <a:pt x="762374" y="108672"/>
              </a:lnTo>
              <a:lnTo>
                <a:pt x="738766" y="100319"/>
              </a:lnTo>
              <a:lnTo>
                <a:pt x="711403" y="97472"/>
              </a:lnTo>
              <a:close/>
            </a:path>
            <a:path w="1861820" h="467994">
              <a:moveTo>
                <a:pt x="844664" y="142278"/>
              </a:moveTo>
              <a:lnTo>
                <a:pt x="722934" y="142278"/>
              </a:lnTo>
              <a:lnTo>
                <a:pt x="751695" y="149420"/>
              </a:lnTo>
              <a:lnTo>
                <a:pt x="773461" y="168790"/>
              </a:lnTo>
              <a:lnTo>
                <a:pt x="787246" y="197308"/>
              </a:lnTo>
              <a:lnTo>
                <a:pt x="792060" y="231889"/>
              </a:lnTo>
              <a:lnTo>
                <a:pt x="787317" y="266265"/>
              </a:lnTo>
              <a:lnTo>
                <a:pt x="773652" y="294814"/>
              </a:lnTo>
              <a:lnTo>
                <a:pt x="751909" y="314310"/>
              </a:lnTo>
              <a:lnTo>
                <a:pt x="722934" y="321525"/>
              </a:lnTo>
              <a:lnTo>
                <a:pt x="844664" y="321525"/>
              </a:lnTo>
              <a:lnTo>
                <a:pt x="844664" y="142278"/>
              </a:lnTo>
              <a:close/>
            </a:path>
            <a:path w="1861820" h="467994">
              <a:moveTo>
                <a:pt x="844664" y="103555"/>
              </a:moveTo>
              <a:lnTo>
                <a:pt x="794562" y="103555"/>
              </a:lnTo>
              <a:lnTo>
                <a:pt x="794562" y="140779"/>
              </a:lnTo>
              <a:lnTo>
                <a:pt x="844664" y="140779"/>
              </a:lnTo>
              <a:lnTo>
                <a:pt x="844664" y="103555"/>
              </a:lnTo>
              <a:close/>
            </a:path>
            <a:path w="1861820" h="467994">
              <a:moveTo>
                <a:pt x="86906" y="17805"/>
              </a:moveTo>
              <a:lnTo>
                <a:pt x="0" y="17805"/>
              </a:lnTo>
              <a:lnTo>
                <a:pt x="0" y="62001"/>
              </a:lnTo>
              <a:lnTo>
                <a:pt x="65074" y="62001"/>
              </a:lnTo>
              <a:lnTo>
                <a:pt x="65074" y="263906"/>
              </a:lnTo>
              <a:lnTo>
                <a:pt x="71746" y="304549"/>
              </a:lnTo>
              <a:lnTo>
                <a:pt x="90760" y="334764"/>
              </a:lnTo>
              <a:lnTo>
                <a:pt x="120613" y="353593"/>
              </a:lnTo>
              <a:lnTo>
                <a:pt x="159804" y="360083"/>
              </a:lnTo>
              <a:lnTo>
                <a:pt x="271703" y="360083"/>
              </a:lnTo>
              <a:lnTo>
                <a:pt x="271703" y="312483"/>
              </a:lnTo>
              <a:lnTo>
                <a:pt x="159804" y="312483"/>
              </a:lnTo>
              <a:lnTo>
                <a:pt x="140396" y="309023"/>
              </a:lnTo>
              <a:lnTo>
                <a:pt x="126588" y="298642"/>
              </a:lnTo>
              <a:lnTo>
                <a:pt x="118336" y="281338"/>
              </a:lnTo>
              <a:lnTo>
                <a:pt x="115595" y="257111"/>
              </a:lnTo>
              <a:lnTo>
                <a:pt x="115595" y="46494"/>
              </a:lnTo>
              <a:lnTo>
                <a:pt x="113341" y="35325"/>
              </a:lnTo>
              <a:lnTo>
                <a:pt x="107194" y="26206"/>
              </a:lnTo>
              <a:lnTo>
                <a:pt x="98075" y="20059"/>
              </a:lnTo>
              <a:lnTo>
                <a:pt x="86906" y="17805"/>
              </a:lnTo>
              <a:close/>
            </a:path>
            <a:path w="1861820" h="467994">
              <a:moveTo>
                <a:pt x="1728470" y="97142"/>
              </a:moveTo>
              <a:lnTo>
                <a:pt x="1682052" y="107716"/>
              </a:lnTo>
              <a:lnTo>
                <a:pt x="1646861" y="136653"/>
              </a:lnTo>
              <a:lnTo>
                <a:pt x="1624540" y="179775"/>
              </a:lnTo>
              <a:lnTo>
                <a:pt x="1616735" y="232905"/>
              </a:lnTo>
              <a:lnTo>
                <a:pt x="1624471" y="285682"/>
              </a:lnTo>
              <a:lnTo>
                <a:pt x="1646675" y="328018"/>
              </a:lnTo>
              <a:lnTo>
                <a:pt x="1681843" y="356167"/>
              </a:lnTo>
              <a:lnTo>
                <a:pt x="1728470" y="366382"/>
              </a:lnTo>
              <a:lnTo>
                <a:pt x="1754495" y="363814"/>
              </a:lnTo>
              <a:lnTo>
                <a:pt x="1777750" y="355923"/>
              </a:lnTo>
              <a:lnTo>
                <a:pt x="1797155" y="342432"/>
              </a:lnTo>
              <a:lnTo>
                <a:pt x="1811629" y="323062"/>
              </a:lnTo>
              <a:lnTo>
                <a:pt x="1861731" y="323062"/>
              </a:lnTo>
              <a:lnTo>
                <a:pt x="1861731" y="321183"/>
              </a:lnTo>
              <a:lnTo>
                <a:pt x="1740001" y="321183"/>
              </a:lnTo>
              <a:lnTo>
                <a:pt x="1710646" y="313820"/>
              </a:lnTo>
              <a:lnTo>
                <a:pt x="1688574" y="294038"/>
              </a:lnTo>
              <a:lnTo>
                <a:pt x="1674677" y="265295"/>
              </a:lnTo>
              <a:lnTo>
                <a:pt x="1669846" y="231051"/>
              </a:lnTo>
              <a:lnTo>
                <a:pt x="1674751" y="196965"/>
              </a:lnTo>
              <a:lnTo>
                <a:pt x="1688765" y="168576"/>
              </a:lnTo>
              <a:lnTo>
                <a:pt x="1710860" y="149140"/>
              </a:lnTo>
              <a:lnTo>
                <a:pt x="1740001" y="141935"/>
              </a:lnTo>
              <a:lnTo>
                <a:pt x="1861731" y="141935"/>
              </a:lnTo>
              <a:lnTo>
                <a:pt x="1861731" y="140449"/>
              </a:lnTo>
              <a:lnTo>
                <a:pt x="1811629" y="140449"/>
              </a:lnTo>
              <a:lnTo>
                <a:pt x="1798353" y="121922"/>
              </a:lnTo>
              <a:lnTo>
                <a:pt x="1779441" y="108342"/>
              </a:lnTo>
              <a:lnTo>
                <a:pt x="1755833" y="99988"/>
              </a:lnTo>
              <a:lnTo>
                <a:pt x="1728470" y="97142"/>
              </a:lnTo>
              <a:close/>
            </a:path>
            <a:path w="1861820" h="467994">
              <a:moveTo>
                <a:pt x="1861731" y="323062"/>
              </a:moveTo>
              <a:lnTo>
                <a:pt x="1811629" y="323062"/>
              </a:lnTo>
              <a:lnTo>
                <a:pt x="1811609" y="357200"/>
              </a:lnTo>
              <a:lnTo>
                <a:pt x="1811489" y="358597"/>
              </a:lnTo>
              <a:lnTo>
                <a:pt x="1811426" y="359752"/>
              </a:lnTo>
              <a:lnTo>
                <a:pt x="1861642" y="359752"/>
              </a:lnTo>
              <a:lnTo>
                <a:pt x="1861731" y="323062"/>
              </a:lnTo>
              <a:close/>
            </a:path>
            <a:path w="1861820" h="467994">
              <a:moveTo>
                <a:pt x="1861731" y="141935"/>
              </a:moveTo>
              <a:lnTo>
                <a:pt x="1740001" y="141935"/>
              </a:lnTo>
              <a:lnTo>
                <a:pt x="1768767" y="149077"/>
              </a:lnTo>
              <a:lnTo>
                <a:pt x="1790533" y="168448"/>
              </a:lnTo>
              <a:lnTo>
                <a:pt x="1804315" y="196970"/>
              </a:lnTo>
              <a:lnTo>
                <a:pt x="1809127" y="231546"/>
              </a:lnTo>
              <a:lnTo>
                <a:pt x="1804384" y="265927"/>
              </a:lnTo>
              <a:lnTo>
                <a:pt x="1790719" y="294476"/>
              </a:lnTo>
              <a:lnTo>
                <a:pt x="1768976" y="313969"/>
              </a:lnTo>
              <a:lnTo>
                <a:pt x="1740001" y="321183"/>
              </a:lnTo>
              <a:lnTo>
                <a:pt x="1861731" y="321183"/>
              </a:lnTo>
              <a:lnTo>
                <a:pt x="1861731" y="141935"/>
              </a:lnTo>
              <a:close/>
            </a:path>
            <a:path w="1861820" h="467994">
              <a:moveTo>
                <a:pt x="1861731" y="103212"/>
              </a:moveTo>
              <a:lnTo>
                <a:pt x="1811629" y="103212"/>
              </a:lnTo>
              <a:lnTo>
                <a:pt x="1811629" y="140449"/>
              </a:lnTo>
              <a:lnTo>
                <a:pt x="1861731" y="140449"/>
              </a:lnTo>
              <a:lnTo>
                <a:pt x="1861731" y="103212"/>
              </a:lnTo>
              <a:close/>
            </a:path>
          </a:pathLst>
        </a:custGeom>
        <a:solidFill>
          <a:srgbClr val="2800FF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9</xdr:col>
      <xdr:colOff>625475</xdr:colOff>
      <xdr:row>23</xdr:row>
      <xdr:rowOff>120650</xdr:rowOff>
    </xdr:from>
    <xdr:to>
      <xdr:col>20</xdr:col>
      <xdr:colOff>305243</xdr:colOff>
      <xdr:row>58</xdr:row>
      <xdr:rowOff>54449</xdr:rowOff>
    </xdr:to>
    <xdr:pic>
      <xdr:nvPicPr>
        <xdr:cNvPr id="3" name="object 3">
          <a:extLst>
            <a:ext uri="{FF2B5EF4-FFF2-40B4-BE49-F238E27FC236}">
              <a16:creationId xmlns:a16="http://schemas.microsoft.com/office/drawing/2014/main" id="{B68FE8B7-F957-4447-9F97-0A5C942F589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83475" y="3848100"/>
          <a:ext cx="8061768" cy="5597999"/>
        </a:xfrm>
        <a:prstGeom prst="rect">
          <a:avLst/>
        </a:prstGeom>
      </xdr:spPr>
    </xdr:pic>
    <xdr:clientData/>
  </xdr:twoCellAnchor>
  <xdr:twoCellAnchor>
    <xdr:from>
      <xdr:col>1</xdr:col>
      <xdr:colOff>615950</xdr:colOff>
      <xdr:row>25</xdr:row>
      <xdr:rowOff>82550</xdr:rowOff>
    </xdr:from>
    <xdr:to>
      <xdr:col>9</xdr:col>
      <xdr:colOff>476000</xdr:colOff>
      <xdr:row>33</xdr:row>
      <xdr:rowOff>94952</xdr:rowOff>
    </xdr:to>
    <xdr:sp macro="" textlink="">
      <xdr:nvSpPr>
        <xdr:cNvPr id="4" name="object 4">
          <a:extLst>
            <a:ext uri="{FF2B5EF4-FFF2-40B4-BE49-F238E27FC236}">
              <a16:creationId xmlns:a16="http://schemas.microsoft.com/office/drawing/2014/main" id="{9BDF91B8-01BC-4761-9FA5-88CF27D9B4FA}"/>
            </a:ext>
          </a:extLst>
        </xdr:cNvPr>
        <xdr:cNvSpPr txBox="1">
          <a:spLocks noGrp="1"/>
        </xdr:cNvSpPr>
      </xdr:nvSpPr>
      <xdr:spPr>
        <a:xfrm>
          <a:off x="1377950" y="4051300"/>
          <a:ext cx="5956050" cy="1282402"/>
        </a:xfrm>
        <a:prstGeom prst="rect">
          <a:avLst/>
        </a:prstGeom>
      </xdr:spPr>
      <xdr:txBody>
        <a:bodyPr vert="horz" wrap="square" lIns="0" tIns="127000" rIns="0" bIns="0" rtlCol="0">
          <a:spAutoFit/>
        </a:bodyPr>
        <a:lstStyle>
          <a:lvl1pPr>
            <a:defRPr sz="2000" b="1" i="0">
              <a:solidFill>
                <a:srgbClr val="2800FF"/>
              </a:solidFill>
              <a:latin typeface="Arial"/>
              <a:ea typeface="+mj-ea"/>
              <a:cs typeface="Arial"/>
            </a:defRPr>
          </a:lvl1pPr>
        </a:lstStyle>
        <a:p>
          <a:pPr marL="12700" marR="5080">
            <a:lnSpc>
              <a:spcPts val="4500"/>
            </a:lnSpc>
            <a:spcBef>
              <a:spcPts val="1000"/>
            </a:spcBef>
          </a:pP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Appendix Tables</a:t>
          </a:r>
          <a:br>
            <a:rPr lang="es-ES" sz="4500" b="0" spc="190">
              <a:solidFill>
                <a:srgbClr val="000000"/>
              </a:solidFill>
              <a:latin typeface="Tahoma"/>
              <a:cs typeface="Tahoma"/>
            </a:rPr>
          </a:b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H1-2024</a:t>
          </a:r>
          <a:endParaRPr sz="4500">
            <a:latin typeface="Tahoma"/>
            <a:cs typeface="Tahom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NCIO%20RESULTADOS-FY2024/H1-2024/Datos/Resultados%20M06%202024%20YTD_val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LOGENL YTD"/>
      <sheetName val="LOGENL YTD_ex POI only"/>
      <sheetName val="IFRS YTD SIN PD"/>
      <sheetName val="ECO YTD SIN PD"/>
      <sheetName val="ECO YTD_ex POI only"/>
      <sheetName val="EBIT YTD SIN PD"/>
      <sheetName val="EBIT YTD_ex POI only"/>
      <sheetName val="TOB NON-TOB YTD"/>
      <sheetName val="TOB NON-TOB YTD_ex POI only"/>
      <sheetName val="IFRS YTD Details"/>
      <sheetName val="ECO YTD Details"/>
      <sheetName val="ECO YTD_ex POI only Details"/>
      <sheetName val="EBIT YTD Details"/>
      <sheetName val="EBIT YTD_ex POI only Details"/>
      <sheetName val="MARG YTD SIN PD Details"/>
      <sheetName val="MARG YTD_ex POI only Details"/>
      <sheetName val="IBERIA YTD"/>
      <sheetName val="TTD YTD"/>
      <sheetName val="TTDESP YTD"/>
      <sheetName val="LPAY YTD"/>
      <sheetName val="SSLLP YTD"/>
      <sheetName val="TP YTD"/>
      <sheetName val="TPL YTD"/>
      <sheetName val="LOGDIS YTD"/>
      <sheetName val="LARGD YTD"/>
      <sheetName val="LOGESTA YTD"/>
      <sheetName val="ELMOSCA YTD"/>
      <sheetName val="PAQ YTD"/>
      <sheetName val="PAQ YTD (2)"/>
      <sheetName val="PAQ ESP YTD"/>
      <sheetName val="PAQ PT YTD"/>
      <sheetName val="CARBO YTD"/>
      <sheetName val="MEN YTD"/>
      <sheetName val="MEN YTD (2)"/>
      <sheetName val="MEN ESP YTD"/>
      <sheetName val="MEN PT YTD"/>
      <sheetName val="MEN NL YTD"/>
      <sheetName val="MEN BE YTD"/>
      <sheetName val="PHAR YTD"/>
      <sheetName val="PHAR ESP YTD"/>
      <sheetName val="PHAR PT YTD"/>
      <sheetName val="PUB YTD"/>
      <sheetName val="STRATOR YTD"/>
      <sheetName val="AJIB YTD"/>
      <sheetName val="ITALIA YTD"/>
      <sheetName val="TIT YTD"/>
      <sheetName val="SSLLITA YTD"/>
      <sheetName val="PHAR IT YTD"/>
      <sheetName val="AJIT YTD"/>
      <sheetName val="ADF YTD"/>
      <sheetName val="TABFR YTD"/>
      <sheetName val="TELECOMFR YTD"/>
      <sheetName val="EQUIPMENT YTD"/>
      <sheetName val="WSTRADFR YTD"/>
      <sheetName val="AJUSTADFWS YTD"/>
      <sheetName val="CORP YTD"/>
      <sheetName val="CORPESP YTD"/>
      <sheetName val="LOGHOLD YTD"/>
      <sheetName val="CORPFR YTD"/>
      <sheetName val="AJUSTCONSOLOG YTD"/>
    </sheetNames>
    <sheetDataSet>
      <sheetData sheetId="0"/>
      <sheetData sheetId="1">
        <row r="28">
          <cell r="C28">
            <v>-882</v>
          </cell>
        </row>
        <row r="29">
          <cell r="C29">
            <v>-48275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U60"/>
  <sheetViews>
    <sheetView showGridLines="0" topLeftCell="A21" zoomScale="90" zoomScaleNormal="90" workbookViewId="0">
      <selection activeCell="K65" sqref="K65"/>
    </sheetView>
  </sheetViews>
  <sheetFormatPr baseColWidth="10" defaultRowHeight="12.75" x14ac:dyDescent="0.2"/>
  <sheetData>
    <row r="12" spans="2:21" ht="13.5" thickBot="1" x14ac:dyDescent="0.25"/>
    <row r="13" spans="2:21" x14ac:dyDescent="0.2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6"/>
    </row>
    <row r="14" spans="2:21" x14ac:dyDescent="0.2">
      <c r="B14" s="37"/>
      <c r="U14" s="38"/>
    </row>
    <row r="15" spans="2:21" x14ac:dyDescent="0.2">
      <c r="B15" s="37"/>
      <c r="U15" s="38"/>
    </row>
    <row r="16" spans="2:21" x14ac:dyDescent="0.2">
      <c r="B16" s="37"/>
      <c r="U16" s="38"/>
    </row>
    <row r="17" spans="2:21" x14ac:dyDescent="0.2">
      <c r="B17" s="37"/>
      <c r="U17" s="38"/>
    </row>
    <row r="18" spans="2:21" x14ac:dyDescent="0.2">
      <c r="B18" s="37"/>
      <c r="U18" s="38"/>
    </row>
    <row r="19" spans="2:21" x14ac:dyDescent="0.2">
      <c r="B19" s="37"/>
      <c r="U19" s="38"/>
    </row>
    <row r="20" spans="2:21" x14ac:dyDescent="0.2">
      <c r="B20" s="37"/>
      <c r="U20" s="38"/>
    </row>
    <row r="21" spans="2:21" x14ac:dyDescent="0.2">
      <c r="B21" s="37"/>
      <c r="U21" s="38"/>
    </row>
    <row r="22" spans="2:21" x14ac:dyDescent="0.2">
      <c r="B22" s="37"/>
      <c r="U22" s="38"/>
    </row>
    <row r="23" spans="2:21" x14ac:dyDescent="0.2">
      <c r="B23" s="37"/>
      <c r="U23" s="38"/>
    </row>
    <row r="24" spans="2:21" x14ac:dyDescent="0.2">
      <c r="B24" s="37"/>
      <c r="U24" s="38"/>
    </row>
    <row r="25" spans="2:21" x14ac:dyDescent="0.2">
      <c r="B25" s="37"/>
      <c r="U25" s="38"/>
    </row>
    <row r="26" spans="2:21" x14ac:dyDescent="0.2">
      <c r="B26" s="37"/>
      <c r="U26" s="38"/>
    </row>
    <row r="27" spans="2:21" x14ac:dyDescent="0.2">
      <c r="B27" s="37"/>
      <c r="U27" s="38"/>
    </row>
    <row r="28" spans="2:21" x14ac:dyDescent="0.2">
      <c r="B28" s="37"/>
      <c r="U28" s="38"/>
    </row>
    <row r="29" spans="2:21" x14ac:dyDescent="0.2">
      <c r="B29" s="37"/>
      <c r="U29" s="38"/>
    </row>
    <row r="30" spans="2:21" x14ac:dyDescent="0.2">
      <c r="B30" s="37"/>
      <c r="U30" s="38"/>
    </row>
    <row r="31" spans="2:21" x14ac:dyDescent="0.2">
      <c r="B31" s="37"/>
      <c r="U31" s="38"/>
    </row>
    <row r="32" spans="2:21" x14ac:dyDescent="0.2">
      <c r="B32" s="37"/>
      <c r="U32" s="38"/>
    </row>
    <row r="33" spans="2:21" x14ac:dyDescent="0.2">
      <c r="B33" s="37"/>
      <c r="U33" s="38"/>
    </row>
    <row r="34" spans="2:21" x14ac:dyDescent="0.2">
      <c r="B34" s="37"/>
      <c r="U34" s="38"/>
    </row>
    <row r="35" spans="2:21" x14ac:dyDescent="0.2">
      <c r="B35" s="37"/>
      <c r="U35" s="38"/>
    </row>
    <row r="36" spans="2:21" x14ac:dyDescent="0.2">
      <c r="B36" s="37"/>
      <c r="U36" s="38"/>
    </row>
    <row r="37" spans="2:21" x14ac:dyDescent="0.2">
      <c r="B37" s="37"/>
      <c r="U37" s="38"/>
    </row>
    <row r="38" spans="2:21" x14ac:dyDescent="0.2">
      <c r="B38" s="37"/>
      <c r="U38" s="38"/>
    </row>
    <row r="39" spans="2:21" x14ac:dyDescent="0.2">
      <c r="B39" s="37"/>
      <c r="U39" s="38"/>
    </row>
    <row r="40" spans="2:21" x14ac:dyDescent="0.2">
      <c r="B40" s="37"/>
      <c r="U40" s="38"/>
    </row>
    <row r="41" spans="2:21" x14ac:dyDescent="0.2">
      <c r="B41" s="37"/>
      <c r="U41" s="38"/>
    </row>
    <row r="42" spans="2:21" x14ac:dyDescent="0.2">
      <c r="B42" s="37"/>
      <c r="U42" s="38"/>
    </row>
    <row r="43" spans="2:21" x14ac:dyDescent="0.2">
      <c r="B43" s="37"/>
      <c r="U43" s="38"/>
    </row>
    <row r="44" spans="2:21" x14ac:dyDescent="0.2">
      <c r="B44" s="37"/>
      <c r="U44" s="38"/>
    </row>
    <row r="45" spans="2:21" x14ac:dyDescent="0.2">
      <c r="B45" s="37"/>
      <c r="U45" s="38"/>
    </row>
    <row r="46" spans="2:21" x14ac:dyDescent="0.2">
      <c r="B46" s="37"/>
      <c r="U46" s="38"/>
    </row>
    <row r="47" spans="2:21" x14ac:dyDescent="0.2">
      <c r="B47" s="37"/>
      <c r="U47" s="38"/>
    </row>
    <row r="48" spans="2:21" x14ac:dyDescent="0.2">
      <c r="B48" s="37"/>
      <c r="U48" s="38"/>
    </row>
    <row r="49" spans="2:21" x14ac:dyDescent="0.2">
      <c r="B49" s="37"/>
      <c r="U49" s="38"/>
    </row>
    <row r="50" spans="2:21" x14ac:dyDescent="0.2">
      <c r="B50" s="37"/>
      <c r="U50" s="38"/>
    </row>
    <row r="51" spans="2:21" x14ac:dyDescent="0.2">
      <c r="B51" s="37"/>
      <c r="U51" s="38"/>
    </row>
    <row r="52" spans="2:21" x14ac:dyDescent="0.2">
      <c r="B52" s="37"/>
      <c r="U52" s="38"/>
    </row>
    <row r="53" spans="2:21" x14ac:dyDescent="0.2">
      <c r="B53" s="37"/>
      <c r="U53" s="38"/>
    </row>
    <row r="54" spans="2:21" x14ac:dyDescent="0.2">
      <c r="B54" s="37"/>
      <c r="U54" s="38"/>
    </row>
    <row r="55" spans="2:21" x14ac:dyDescent="0.2">
      <c r="B55" s="37"/>
      <c r="U55" s="38"/>
    </row>
    <row r="56" spans="2:21" x14ac:dyDescent="0.2">
      <c r="B56" s="37"/>
      <c r="U56" s="38"/>
    </row>
    <row r="57" spans="2:21" x14ac:dyDescent="0.2">
      <c r="B57" s="37"/>
      <c r="U57" s="38"/>
    </row>
    <row r="58" spans="2:21" x14ac:dyDescent="0.2">
      <c r="B58" s="37"/>
      <c r="U58" s="38"/>
    </row>
    <row r="59" spans="2:21" x14ac:dyDescent="0.2">
      <c r="B59" s="37"/>
      <c r="U59" s="38"/>
    </row>
    <row r="60" spans="2:21" ht="13.5" thickBot="1" x14ac:dyDescent="0.25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1"/>
    </row>
  </sheetData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N45"/>
  <sheetViews>
    <sheetView showGridLines="0" tabSelected="1" zoomScaleNormal="100" workbookViewId="0">
      <selection activeCell="K31" sqref="K31"/>
    </sheetView>
  </sheetViews>
  <sheetFormatPr baseColWidth="10" defaultColWidth="10.85546875" defaultRowHeight="12.75" x14ac:dyDescent="0.2"/>
  <cols>
    <col min="1" max="1" width="10.85546875" style="12"/>
    <col min="2" max="2" width="45.42578125" style="12" customWidth="1"/>
    <col min="3" max="4" width="12.28515625" style="12" customWidth="1"/>
    <col min="5" max="5" width="10.85546875" style="64"/>
    <col min="6" max="7" width="3.42578125" style="12" customWidth="1"/>
    <col min="8" max="8" width="2.42578125" style="51" customWidth="1"/>
    <col min="9" max="10" width="3.42578125" style="12" customWidth="1"/>
    <col min="11" max="11" width="45.42578125" style="12" customWidth="1"/>
    <col min="12" max="13" width="13.140625" style="12" customWidth="1"/>
    <col min="14" max="14" width="10.85546875" style="64"/>
    <col min="15" max="16384" width="10.85546875" style="12"/>
  </cols>
  <sheetData>
    <row r="3" spans="2:14" ht="15.75" x14ac:dyDescent="0.25">
      <c r="B3" s="8" t="s">
        <v>74</v>
      </c>
      <c r="K3" s="8" t="s">
        <v>135</v>
      </c>
    </row>
    <row r="6" spans="2:14" ht="24.75" thickBot="1" x14ac:dyDescent="0.25">
      <c r="B6" s="49" t="s">
        <v>99</v>
      </c>
      <c r="C6" s="4" t="s">
        <v>191</v>
      </c>
      <c r="D6" s="4" t="s">
        <v>20</v>
      </c>
      <c r="E6" s="65" t="s">
        <v>3</v>
      </c>
      <c r="K6" s="49" t="s">
        <v>99</v>
      </c>
      <c r="L6" s="4" t="s">
        <v>191</v>
      </c>
      <c r="M6" s="4" t="s">
        <v>20</v>
      </c>
      <c r="N6" s="65" t="s">
        <v>112</v>
      </c>
    </row>
    <row r="7" spans="2:14" ht="13.5" thickBot="1" x14ac:dyDescent="0.25">
      <c r="B7" s="13" t="s">
        <v>68</v>
      </c>
      <c r="C7" s="100">
        <f>+'Main KPIs'!D18</f>
        <v>6206.4749999999967</v>
      </c>
      <c r="D7" s="100">
        <v>5935.3630000000003</v>
      </c>
      <c r="E7" s="70">
        <f>+C7/D7-1</f>
        <v>4.5677408441572309E-2</v>
      </c>
      <c r="K7" s="13" t="s">
        <v>115</v>
      </c>
      <c r="L7" s="77">
        <f>+C7</f>
        <v>6206.4749999999967</v>
      </c>
      <c r="M7" s="77">
        <f>+D7</f>
        <v>5935.3630000000003</v>
      </c>
      <c r="N7" s="70">
        <f>+E7</f>
        <v>4.5677408441572309E-2</v>
      </c>
    </row>
    <row r="8" spans="2:14" ht="13.5" thickBot="1" x14ac:dyDescent="0.25">
      <c r="B8" s="13" t="s">
        <v>69</v>
      </c>
      <c r="C8" s="100">
        <f>-C7+C9</f>
        <v>-5339.288999999997</v>
      </c>
      <c r="D8" s="100">
        <v>-5101.5770000000002</v>
      </c>
      <c r="E8" s="70">
        <f>+C8/D8-1</f>
        <v>4.659578792988861E-2</v>
      </c>
      <c r="K8" s="13" t="s">
        <v>166</v>
      </c>
      <c r="L8" s="77">
        <f t="shared" ref="L8:M9" si="0">+C8</f>
        <v>-5339.288999999997</v>
      </c>
      <c r="M8" s="77">
        <f t="shared" si="0"/>
        <v>-5101.5770000000002</v>
      </c>
      <c r="N8" s="70">
        <f t="shared" ref="N8:N9" si="1">+E8</f>
        <v>4.659578792988861E-2</v>
      </c>
    </row>
    <row r="9" spans="2:14" ht="13.5" thickBot="1" x14ac:dyDescent="0.25">
      <c r="B9" s="10" t="s">
        <v>70</v>
      </c>
      <c r="C9" s="76">
        <f>+'Main KPIs'!D38</f>
        <v>867.18600000000004</v>
      </c>
      <c r="D9" s="76">
        <v>833.78700000000003</v>
      </c>
      <c r="E9" s="71">
        <f>+C9/D9-1</f>
        <v>4.0056992973025451E-2</v>
      </c>
      <c r="K9" s="10" t="s">
        <v>167</v>
      </c>
      <c r="L9" s="76">
        <f t="shared" si="0"/>
        <v>867.18600000000004</v>
      </c>
      <c r="M9" s="76">
        <f t="shared" si="0"/>
        <v>833.78700000000003</v>
      </c>
      <c r="N9" s="71">
        <f t="shared" si="1"/>
        <v>4.0056992973025451E-2</v>
      </c>
    </row>
    <row r="12" spans="2:14" ht="15.75" x14ac:dyDescent="0.25">
      <c r="B12" s="8" t="s">
        <v>98</v>
      </c>
      <c r="K12" s="8" t="s">
        <v>132</v>
      </c>
    </row>
    <row r="15" spans="2:14" ht="24.75" thickBot="1" x14ac:dyDescent="0.25">
      <c r="B15" s="49" t="s">
        <v>99</v>
      </c>
      <c r="C15" s="4" t="s">
        <v>191</v>
      </c>
      <c r="D15" s="4" t="s">
        <v>20</v>
      </c>
      <c r="E15" s="65" t="s">
        <v>3</v>
      </c>
      <c r="K15" s="49" t="s">
        <v>99</v>
      </c>
      <c r="L15" s="4" t="s">
        <v>20</v>
      </c>
      <c r="M15" s="4" t="s">
        <v>20</v>
      </c>
      <c r="N15" s="65" t="s">
        <v>112</v>
      </c>
    </row>
    <row r="16" spans="2:14" ht="13.5" thickBot="1" x14ac:dyDescent="0.25">
      <c r="B16" s="10" t="s">
        <v>71</v>
      </c>
      <c r="C16" s="101">
        <f>+'Main KPIs'!D50</f>
        <v>193.09</v>
      </c>
      <c r="D16" s="101">
        <v>183.12700000000001</v>
      </c>
      <c r="E16" s="71">
        <f>+C16/D16-1</f>
        <v>5.4404866568010135E-2</v>
      </c>
      <c r="K16" s="10" t="s">
        <v>132</v>
      </c>
      <c r="L16" s="76">
        <f t="shared" ref="L16:M21" si="2">+C16</f>
        <v>193.09</v>
      </c>
      <c r="M16" s="76">
        <f t="shared" si="2"/>
        <v>183.12700000000001</v>
      </c>
      <c r="N16" s="121">
        <f t="shared" ref="N16:N21" si="3">+E16</f>
        <v>5.4404866568010135E-2</v>
      </c>
    </row>
    <row r="17" spans="2:14" ht="13.5" thickBot="1" x14ac:dyDescent="0.25">
      <c r="B17" s="13" t="s">
        <v>72</v>
      </c>
      <c r="C17" s="102">
        <f>+'Main KPIs'!D51</f>
        <v>-1.478</v>
      </c>
      <c r="D17" s="102">
        <v>-12.321999999999999</v>
      </c>
      <c r="E17" s="70">
        <f t="shared" ref="E17:E20" si="4">+C17/D17-1</f>
        <v>-0.88005193962019157</v>
      </c>
      <c r="K17" s="13" t="s">
        <v>134</v>
      </c>
      <c r="L17" s="77">
        <f t="shared" si="2"/>
        <v>-1.478</v>
      </c>
      <c r="M17" s="77">
        <f t="shared" si="2"/>
        <v>-12.321999999999999</v>
      </c>
      <c r="N17" s="122">
        <f t="shared" si="3"/>
        <v>-0.88005193962019157</v>
      </c>
    </row>
    <row r="18" spans="2:14" ht="13.5" thickBot="1" x14ac:dyDescent="0.25">
      <c r="B18" s="13" t="s">
        <v>14</v>
      </c>
      <c r="C18" s="102">
        <f>+'Main KPIs'!D52</f>
        <v>-30.61</v>
      </c>
      <c r="D18" s="102">
        <v>-26.45</v>
      </c>
      <c r="E18" s="70">
        <f t="shared" si="4"/>
        <v>0.15727788279773147</v>
      </c>
      <c r="K18" s="13" t="s">
        <v>186</v>
      </c>
      <c r="L18" s="77">
        <f t="shared" si="2"/>
        <v>-30.61</v>
      </c>
      <c r="M18" s="77">
        <f t="shared" si="2"/>
        <v>-26.45</v>
      </c>
      <c r="N18" s="122">
        <f t="shared" si="3"/>
        <v>0.15727788279773147</v>
      </c>
    </row>
    <row r="19" spans="2:14" ht="13.5" thickBot="1" x14ac:dyDescent="0.25">
      <c r="B19" s="13" t="s">
        <v>15</v>
      </c>
      <c r="C19" s="102">
        <f>+'Main KPIs'!D53</f>
        <v>5.79</v>
      </c>
      <c r="D19" s="102">
        <v>-9.8000000000000004E-2</v>
      </c>
      <c r="E19" s="70" t="s">
        <v>185</v>
      </c>
      <c r="K19" s="13" t="s">
        <v>117</v>
      </c>
      <c r="L19" s="77">
        <f t="shared" si="2"/>
        <v>5.79</v>
      </c>
      <c r="M19" s="77">
        <f t="shared" si="2"/>
        <v>-9.8000000000000004E-2</v>
      </c>
      <c r="N19" s="122" t="str">
        <f t="shared" si="3"/>
        <v>n.m.</v>
      </c>
    </row>
    <row r="20" spans="2:14" ht="13.5" thickBot="1" x14ac:dyDescent="0.25">
      <c r="B20" s="13" t="s">
        <v>16</v>
      </c>
      <c r="C20" s="102">
        <f>+'Main KPIs'!D54</f>
        <v>0.99927300000000008</v>
      </c>
      <c r="D20" s="102">
        <v>1.8109999999999999</v>
      </c>
      <c r="E20" s="70">
        <f t="shared" si="4"/>
        <v>-0.44822032026504688</v>
      </c>
      <c r="K20" s="13" t="s">
        <v>168</v>
      </c>
      <c r="L20" s="77">
        <f t="shared" si="2"/>
        <v>0.99927300000000008</v>
      </c>
      <c r="M20" s="77">
        <f t="shared" si="2"/>
        <v>1.8109999999999999</v>
      </c>
      <c r="N20" s="122">
        <f t="shared" si="3"/>
        <v>-0.44822032026504688</v>
      </c>
    </row>
    <row r="21" spans="2:14" ht="13.5" thickBot="1" x14ac:dyDescent="0.25">
      <c r="B21" s="10" t="s">
        <v>17</v>
      </c>
      <c r="C21" s="101">
        <f>+'Main KPIs'!D55</f>
        <v>167.79127320745999</v>
      </c>
      <c r="D21" s="101">
        <f>SUM(D16:D20)</f>
        <v>146.06800000000001</v>
      </c>
      <c r="E21" s="71">
        <f>+C21/D21-1</f>
        <v>0.14872027553920075</v>
      </c>
      <c r="K21" s="22" t="s">
        <v>199</v>
      </c>
      <c r="L21" s="76">
        <f t="shared" si="2"/>
        <v>167.79127320745999</v>
      </c>
      <c r="M21" s="76">
        <f t="shared" si="2"/>
        <v>146.06800000000001</v>
      </c>
      <c r="N21" s="121">
        <f t="shared" si="3"/>
        <v>0.14872027553920075</v>
      </c>
    </row>
    <row r="25" spans="2:14" ht="15.75" x14ac:dyDescent="0.25">
      <c r="B25" s="8" t="s">
        <v>73</v>
      </c>
      <c r="K25" s="8" t="s">
        <v>201</v>
      </c>
    </row>
    <row r="28" spans="2:14" ht="24.75" thickBot="1" x14ac:dyDescent="0.25">
      <c r="B28" s="49" t="s">
        <v>99</v>
      </c>
      <c r="C28" s="4" t="s">
        <v>191</v>
      </c>
      <c r="D28" s="4" t="s">
        <v>20</v>
      </c>
      <c r="E28" s="65" t="s">
        <v>3</v>
      </c>
      <c r="K28" s="49" t="s">
        <v>99</v>
      </c>
      <c r="L28" s="4" t="s">
        <v>20</v>
      </c>
      <c r="M28" s="4" t="s">
        <v>20</v>
      </c>
      <c r="N28" s="65" t="s">
        <v>112</v>
      </c>
    </row>
    <row r="29" spans="2:14" ht="13.5" thickBot="1" x14ac:dyDescent="0.25">
      <c r="B29" s="24" t="s">
        <v>74</v>
      </c>
      <c r="C29" s="103">
        <f>+C9</f>
        <v>867.18600000000004</v>
      </c>
      <c r="D29" s="103">
        <f>+D9</f>
        <v>833.78700000000003</v>
      </c>
      <c r="E29" s="70">
        <f t="shared" ref="E29:E30" si="5">+C29/D29-1</f>
        <v>4.0056992973025451E-2</v>
      </c>
      <c r="K29" s="24" t="s">
        <v>169</v>
      </c>
      <c r="L29" s="103">
        <f t="shared" ref="L29:M31" si="6">+C29</f>
        <v>867.18600000000004</v>
      </c>
      <c r="M29" s="103">
        <f t="shared" si="6"/>
        <v>833.78700000000003</v>
      </c>
      <c r="N29" s="70">
        <f t="shared" ref="N29:N31" si="7">+E29</f>
        <v>4.0056992973025451E-2</v>
      </c>
    </row>
    <row r="30" spans="2:14" ht="13.5" thickBot="1" x14ac:dyDescent="0.25">
      <c r="B30" s="24" t="s">
        <v>71</v>
      </c>
      <c r="C30" s="103">
        <f>+C16</f>
        <v>193.09</v>
      </c>
      <c r="D30" s="103">
        <f>+D16</f>
        <v>183.12700000000001</v>
      </c>
      <c r="E30" s="70">
        <f t="shared" si="5"/>
        <v>5.4404866568010135E-2</v>
      </c>
      <c r="K30" s="24" t="s">
        <v>132</v>
      </c>
      <c r="L30" s="103">
        <f t="shared" si="6"/>
        <v>193.09</v>
      </c>
      <c r="M30" s="103">
        <f t="shared" si="6"/>
        <v>183.12700000000001</v>
      </c>
      <c r="N30" s="70">
        <f t="shared" si="7"/>
        <v>5.4404866568010135E-2</v>
      </c>
    </row>
    <row r="31" spans="2:14" ht="13.5" thickBot="1" x14ac:dyDescent="0.25">
      <c r="B31" s="10" t="s">
        <v>75</v>
      </c>
      <c r="C31" s="71">
        <f>+C30/C29</f>
        <v>0.22266272748868177</v>
      </c>
      <c r="D31" s="71">
        <f>+D30/D29</f>
        <v>0.2196328318863211</v>
      </c>
      <c r="E31" s="110" t="str">
        <f>+'P&amp;L'!E13</f>
        <v>30 p.b.</v>
      </c>
      <c r="K31" s="10" t="s">
        <v>170</v>
      </c>
      <c r="L31" s="71">
        <f t="shared" si="6"/>
        <v>0.22266272748868177</v>
      </c>
      <c r="M31" s="71">
        <f t="shared" si="6"/>
        <v>0.2196328318863211</v>
      </c>
      <c r="N31" s="66" t="str">
        <f t="shared" si="7"/>
        <v>30 p.b.</v>
      </c>
    </row>
    <row r="35" spans="2:14" ht="15.75" x14ac:dyDescent="0.25">
      <c r="B35" s="8" t="s">
        <v>76</v>
      </c>
      <c r="K35" s="8" t="s">
        <v>181</v>
      </c>
    </row>
    <row r="37" spans="2:14" ht="24.75" thickBot="1" x14ac:dyDescent="0.25">
      <c r="B37" s="49" t="s">
        <v>99</v>
      </c>
      <c r="C37" s="4" t="s">
        <v>191</v>
      </c>
      <c r="D37" s="4" t="s">
        <v>20</v>
      </c>
      <c r="E37" s="65" t="s">
        <v>3</v>
      </c>
      <c r="K37" s="49" t="s">
        <v>99</v>
      </c>
      <c r="L37" s="4" t="s">
        <v>20</v>
      </c>
      <c r="M37" s="4" t="s">
        <v>20</v>
      </c>
      <c r="N37" s="65" t="s">
        <v>112</v>
      </c>
    </row>
    <row r="38" spans="2:14" x14ac:dyDescent="0.2">
      <c r="B38" s="47" t="s">
        <v>77</v>
      </c>
      <c r="C38" s="104">
        <f>623190/1000</f>
        <v>623.19000000000005</v>
      </c>
      <c r="D38" s="104">
        <f>608162/1000</f>
        <v>608.16200000000003</v>
      </c>
      <c r="E38" s="113">
        <f t="shared" ref="E38:E44" si="8">+C38/D38-1</f>
        <v>2.4710521209809322E-2</v>
      </c>
      <c r="K38" s="47" t="s">
        <v>176</v>
      </c>
      <c r="L38" s="84">
        <f>+C38</f>
        <v>623.19000000000005</v>
      </c>
      <c r="M38" s="84">
        <f>+D38</f>
        <v>608.16200000000003</v>
      </c>
      <c r="N38" s="72">
        <f>+E38</f>
        <v>2.4710521209809322E-2</v>
      </c>
    </row>
    <row r="39" spans="2:14" x14ac:dyDescent="0.2">
      <c r="B39" s="47" t="s">
        <v>78</v>
      </c>
      <c r="C39" s="104">
        <f>33599/1000</f>
        <v>33.598999999999997</v>
      </c>
      <c r="D39" s="104">
        <f>33372/1000</f>
        <v>33.372</v>
      </c>
      <c r="E39" s="113">
        <f t="shared" si="8"/>
        <v>6.8021095529184894E-3</v>
      </c>
      <c r="K39" s="47" t="s">
        <v>177</v>
      </c>
      <c r="L39" s="85">
        <f t="shared" ref="L39:M43" si="9">+C39</f>
        <v>33.598999999999997</v>
      </c>
      <c r="M39" s="85">
        <f t="shared" si="9"/>
        <v>33.372</v>
      </c>
      <c r="N39" s="72">
        <f t="shared" ref="N39:N43" si="10">+E39</f>
        <v>6.8021095529184894E-3</v>
      </c>
    </row>
    <row r="40" spans="2:14" x14ac:dyDescent="0.2">
      <c r="B40" s="47" t="s">
        <v>79</v>
      </c>
      <c r="C40" s="104">
        <v>0.88200000000000001</v>
      </c>
      <c r="D40" s="104">
        <v>1.1559999999999999</v>
      </c>
      <c r="E40" s="113">
        <f t="shared" si="8"/>
        <v>-0.23702422145328716</v>
      </c>
      <c r="K40" s="47" t="s">
        <v>178</v>
      </c>
      <c r="L40" s="85">
        <f t="shared" si="9"/>
        <v>0.88200000000000001</v>
      </c>
      <c r="M40" s="85">
        <f t="shared" si="9"/>
        <v>1.1559999999999999</v>
      </c>
      <c r="N40" s="72">
        <f t="shared" si="10"/>
        <v>-0.23702422145328716</v>
      </c>
    </row>
    <row r="41" spans="2:14" x14ac:dyDescent="0.2">
      <c r="B41" s="47" t="s">
        <v>80</v>
      </c>
      <c r="C41" s="104">
        <f>48512/1000</f>
        <v>48.512</v>
      </c>
      <c r="D41" s="104">
        <f>46741/1000</f>
        <v>46.741</v>
      </c>
      <c r="E41" s="113">
        <f t="shared" si="8"/>
        <v>3.7889647204809584E-2</v>
      </c>
      <c r="K41" s="47" t="s">
        <v>179</v>
      </c>
      <c r="L41" s="85">
        <f t="shared" si="9"/>
        <v>48.512</v>
      </c>
      <c r="M41" s="85">
        <f t="shared" si="9"/>
        <v>46.741</v>
      </c>
      <c r="N41" s="72">
        <f t="shared" si="10"/>
        <v>3.7889647204809584E-2</v>
      </c>
    </row>
    <row r="42" spans="2:14" x14ac:dyDescent="0.2">
      <c r="B42" s="47" t="s">
        <v>81</v>
      </c>
      <c r="C42" s="105">
        <f>+C17</f>
        <v>-1.478</v>
      </c>
      <c r="D42" s="105">
        <v>-12.321999999999999</v>
      </c>
      <c r="E42" s="113">
        <f t="shared" si="8"/>
        <v>-0.88005193962019157</v>
      </c>
      <c r="K42" s="47" t="s">
        <v>134</v>
      </c>
      <c r="L42" s="85">
        <f t="shared" si="9"/>
        <v>-1.478</v>
      </c>
      <c r="M42" s="85">
        <f t="shared" si="9"/>
        <v>-12.321999999999999</v>
      </c>
      <c r="N42" s="72">
        <f t="shared" si="10"/>
        <v>-0.88005193962019157</v>
      </c>
    </row>
    <row r="43" spans="2:14" ht="13.5" thickBot="1" x14ac:dyDescent="0.25">
      <c r="B43" s="47" t="s">
        <v>187</v>
      </c>
      <c r="C43" s="106">
        <f>+C18</f>
        <v>-30.61</v>
      </c>
      <c r="D43" s="106">
        <f>+'Main KPIs'!E52</f>
        <v>-26.45</v>
      </c>
      <c r="E43" s="114">
        <f t="shared" si="8"/>
        <v>0.15727788279773147</v>
      </c>
      <c r="K43" s="50" t="s">
        <v>188</v>
      </c>
      <c r="L43" s="77">
        <f t="shared" si="9"/>
        <v>-30.61</v>
      </c>
      <c r="M43" s="77">
        <f t="shared" si="9"/>
        <v>-26.45</v>
      </c>
      <c r="N43" s="70">
        <f t="shared" si="10"/>
        <v>0.15727788279773147</v>
      </c>
    </row>
    <row r="44" spans="2:14" ht="24" x14ac:dyDescent="0.2">
      <c r="B44" s="112" t="s">
        <v>82</v>
      </c>
      <c r="C44" s="107">
        <f>+SUM(C38:C43)</f>
        <v>674.09500000000003</v>
      </c>
      <c r="D44" s="107">
        <f>+SUM(D38:D43)</f>
        <v>650.65899999999988</v>
      </c>
      <c r="E44" s="115">
        <f t="shared" si="8"/>
        <v>3.6018867025584989E-2</v>
      </c>
      <c r="K44" s="48" t="s">
        <v>180</v>
      </c>
      <c r="L44" s="107">
        <f>+C44</f>
        <v>674.09500000000003</v>
      </c>
      <c r="M44" s="107">
        <f>+D44</f>
        <v>650.65899999999988</v>
      </c>
      <c r="N44" s="73">
        <f>+E44</f>
        <v>3.6018867025584989E-2</v>
      </c>
    </row>
    <row r="45" spans="2:14" x14ac:dyDescent="0.2">
      <c r="E45" s="116"/>
    </row>
  </sheetData>
  <pageMargins left="0.7" right="0.7" top="0.75" bottom="0.75" header="0.3" footer="0.3"/>
  <pageSetup scale="96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59"/>
  <sheetViews>
    <sheetView showGridLines="0" topLeftCell="A45" zoomScaleNormal="100" workbookViewId="0">
      <selection activeCell="J56" sqref="J56"/>
    </sheetView>
  </sheetViews>
  <sheetFormatPr baseColWidth="10" defaultRowHeight="12.75" x14ac:dyDescent="0.2"/>
  <cols>
    <col min="2" max="2" width="13.140625" style="44" customWidth="1"/>
    <col min="3" max="3" width="38.140625" customWidth="1"/>
    <col min="4" max="4" width="11.85546875" customWidth="1"/>
    <col min="8" max="8" width="2.5703125" style="51" customWidth="1"/>
    <col min="10" max="10" width="13.140625" style="44" customWidth="1"/>
    <col min="11" max="11" width="34.7109375" customWidth="1"/>
  </cols>
  <sheetData>
    <row r="3" spans="2:14" ht="15.75" x14ac:dyDescent="0.2">
      <c r="B3" s="123" t="s">
        <v>13</v>
      </c>
      <c r="C3" s="123"/>
      <c r="D3" s="123"/>
      <c r="E3" s="123"/>
      <c r="F3" s="123"/>
      <c r="J3" s="123" t="s">
        <v>109</v>
      </c>
      <c r="K3" s="123"/>
      <c r="L3" s="123"/>
      <c r="M3" s="123"/>
      <c r="N3" s="123"/>
    </row>
    <row r="4" spans="2:14" ht="15.75" x14ac:dyDescent="0.2">
      <c r="B4" s="7"/>
      <c r="J4" s="7"/>
    </row>
    <row r="5" spans="2:14" ht="12.6" customHeight="1" x14ac:dyDescent="0.2">
      <c r="B5" s="125" t="s">
        <v>0</v>
      </c>
      <c r="C5" s="57"/>
      <c r="D5" s="1" t="s">
        <v>189</v>
      </c>
      <c r="E5" s="1" t="s">
        <v>1</v>
      </c>
      <c r="F5" s="127" t="s">
        <v>3</v>
      </c>
      <c r="J5" s="125" t="s">
        <v>0</v>
      </c>
      <c r="K5" s="57"/>
      <c r="L5" s="1" t="s">
        <v>189</v>
      </c>
      <c r="M5" s="1" t="s">
        <v>1</v>
      </c>
      <c r="N5" s="127" t="s">
        <v>112</v>
      </c>
    </row>
    <row r="6" spans="2:14" ht="12.95" customHeight="1" thickBot="1" x14ac:dyDescent="0.25">
      <c r="B6" s="126"/>
      <c r="C6" s="58"/>
      <c r="D6" s="2" t="s">
        <v>190</v>
      </c>
      <c r="E6" s="2" t="s">
        <v>2</v>
      </c>
      <c r="F6" s="128"/>
      <c r="J6" s="126"/>
      <c r="K6" s="58"/>
      <c r="L6" s="2" t="s">
        <v>190</v>
      </c>
      <c r="M6" s="2" t="s">
        <v>2</v>
      </c>
      <c r="N6" s="128"/>
    </row>
    <row r="7" spans="2:14" ht="13.5" thickBot="1" x14ac:dyDescent="0.25">
      <c r="B7" s="124" t="s">
        <v>4</v>
      </c>
      <c r="C7" s="124"/>
      <c r="D7" s="91">
        <v>2263.0811809613465</v>
      </c>
      <c r="E7" s="91">
        <v>2112.6551601060592</v>
      </c>
      <c r="F7" s="75">
        <f>+D7/E7-1</f>
        <v>7.1202354125666112E-2</v>
      </c>
      <c r="J7" s="124" t="s">
        <v>4</v>
      </c>
      <c r="K7" s="124"/>
      <c r="L7" s="90"/>
      <c r="M7" s="91">
        <f>+E7</f>
        <v>2112.6551601060592</v>
      </c>
      <c r="N7" s="75">
        <f>+F7</f>
        <v>7.1202354125666112E-2</v>
      </c>
    </row>
    <row r="8" spans="2:14" ht="13.5" thickBot="1" x14ac:dyDescent="0.25">
      <c r="B8" s="42"/>
      <c r="C8" s="20" t="s">
        <v>5</v>
      </c>
      <c r="D8" s="108">
        <v>1787.8819590785699</v>
      </c>
      <c r="E8" s="108">
        <v>1669.1120000000001</v>
      </c>
      <c r="F8" s="75">
        <f t="shared" ref="F8:F18" si="0">+D8/E8-1</f>
        <v>7.115757305595416E-2</v>
      </c>
      <c r="J8" s="42"/>
      <c r="K8" s="20" t="s">
        <v>101</v>
      </c>
      <c r="L8" s="92"/>
      <c r="M8" s="88">
        <f t="shared" ref="M8:M18" si="1">+E8</f>
        <v>1669.1120000000001</v>
      </c>
      <c r="N8" s="75">
        <f t="shared" ref="N8:N18" si="2">+F8</f>
        <v>7.115757305595416E-2</v>
      </c>
    </row>
    <row r="9" spans="2:14" ht="13.5" thickBot="1" x14ac:dyDescent="0.25">
      <c r="B9" s="42"/>
      <c r="C9" s="20" t="s">
        <v>6</v>
      </c>
      <c r="D9" s="89">
        <v>440.31841603107</v>
      </c>
      <c r="E9" s="89">
        <v>416.28899999999999</v>
      </c>
      <c r="F9" s="75">
        <f t="shared" si="0"/>
        <v>5.7722918527921774E-2</v>
      </c>
      <c r="J9" s="42"/>
      <c r="K9" s="20" t="s">
        <v>102</v>
      </c>
      <c r="L9" s="92"/>
      <c r="M9" s="89">
        <f t="shared" si="1"/>
        <v>416.28899999999999</v>
      </c>
      <c r="N9" s="75">
        <f t="shared" si="2"/>
        <v>5.7722918527921774E-2</v>
      </c>
    </row>
    <row r="10" spans="2:14" ht="13.5" thickBot="1" x14ac:dyDescent="0.25">
      <c r="B10" s="42"/>
      <c r="C10" s="20" t="s">
        <v>7</v>
      </c>
      <c r="D10" s="89">
        <v>133.99161041188498</v>
      </c>
      <c r="E10" s="89">
        <v>120.34399999999999</v>
      </c>
      <c r="F10" s="75">
        <f t="shared" si="0"/>
        <v>0.11340499245400681</v>
      </c>
      <c r="J10" s="42"/>
      <c r="K10" s="20" t="s">
        <v>103</v>
      </c>
      <c r="L10" s="92"/>
      <c r="M10" s="89">
        <f t="shared" si="1"/>
        <v>120.34399999999999</v>
      </c>
      <c r="N10" s="75">
        <f t="shared" si="2"/>
        <v>0.11340499245400681</v>
      </c>
    </row>
    <row r="11" spans="2:14" ht="13.5" thickBot="1" x14ac:dyDescent="0.25">
      <c r="B11" s="42"/>
      <c r="C11" s="20" t="s">
        <v>8</v>
      </c>
      <c r="D11" s="89">
        <v>9.6550609412734296</v>
      </c>
      <c r="E11" s="89">
        <v>9.0960000000000001</v>
      </c>
      <c r="F11" s="75">
        <f t="shared" si="0"/>
        <v>6.1462284660667166E-2</v>
      </c>
      <c r="J11" s="42"/>
      <c r="K11" s="20" t="s">
        <v>104</v>
      </c>
      <c r="L11" s="92"/>
      <c r="M11" s="89">
        <f t="shared" si="1"/>
        <v>9.0960000000000001</v>
      </c>
      <c r="N11" s="75">
        <f t="shared" si="2"/>
        <v>6.1462284660667166E-2</v>
      </c>
    </row>
    <row r="12" spans="2:14" ht="12.95" customHeight="1" thickBot="1" x14ac:dyDescent="0.25">
      <c r="B12" s="43"/>
      <c r="C12" s="20" t="s">
        <v>9</v>
      </c>
      <c r="D12" s="89">
        <v>-108.765865501452</v>
      </c>
      <c r="E12" s="89">
        <v>-102.18583989394078</v>
      </c>
      <c r="F12" s="75">
        <f t="shared" si="0"/>
        <v>6.4392734006400998E-2</v>
      </c>
      <c r="J12" s="43"/>
      <c r="K12" s="20" t="s">
        <v>105</v>
      </c>
      <c r="L12" s="92"/>
      <c r="M12" s="89">
        <f t="shared" si="1"/>
        <v>-102.18583989394078</v>
      </c>
      <c r="N12" s="75">
        <f t="shared" si="2"/>
        <v>6.4392734006400998E-2</v>
      </c>
    </row>
    <row r="13" spans="2:14" ht="13.5" thickBot="1" x14ac:dyDescent="0.25">
      <c r="B13" s="124" t="s">
        <v>10</v>
      </c>
      <c r="C13" s="124"/>
      <c r="D13" s="88">
        <v>2144.9110707186696</v>
      </c>
      <c r="E13" s="88">
        <v>2050.8354253847224</v>
      </c>
      <c r="F13" s="75">
        <f t="shared" si="0"/>
        <v>4.5871864787150995E-2</v>
      </c>
      <c r="J13" s="124" t="s">
        <v>106</v>
      </c>
      <c r="K13" s="124"/>
      <c r="L13" s="90"/>
      <c r="M13" s="88">
        <f t="shared" si="1"/>
        <v>2050.8354253847224</v>
      </c>
      <c r="N13" s="75">
        <f t="shared" si="2"/>
        <v>4.5871864787150995E-2</v>
      </c>
    </row>
    <row r="14" spans="2:14" ht="12.95" customHeight="1" thickBot="1" x14ac:dyDescent="0.25">
      <c r="B14" s="43"/>
      <c r="C14" s="33" t="s">
        <v>194</v>
      </c>
      <c r="D14" s="89">
        <v>2144.9110707186696</v>
      </c>
      <c r="E14" s="89">
        <v>2050.8354253847224</v>
      </c>
      <c r="F14" s="75">
        <f t="shared" si="0"/>
        <v>4.5871864787150995E-2</v>
      </c>
      <c r="J14" s="43"/>
      <c r="K14" s="20" t="s">
        <v>198</v>
      </c>
      <c r="L14" s="93"/>
      <c r="M14" s="89">
        <f t="shared" si="1"/>
        <v>2050.8354253847224</v>
      </c>
      <c r="N14" s="75">
        <f t="shared" si="2"/>
        <v>4.5871864787150995E-2</v>
      </c>
    </row>
    <row r="15" spans="2:14" ht="13.5" thickBot="1" x14ac:dyDescent="0.25">
      <c r="B15" s="124" t="s">
        <v>11</v>
      </c>
      <c r="C15" s="124"/>
      <c r="D15" s="88">
        <v>1827.0797483199799</v>
      </c>
      <c r="E15" s="88">
        <v>1800.0964145092184</v>
      </c>
      <c r="F15" s="75">
        <f t="shared" si="0"/>
        <v>1.4989938090687271E-2</v>
      </c>
      <c r="J15" s="124" t="s">
        <v>107</v>
      </c>
      <c r="K15" s="124"/>
      <c r="L15" s="90"/>
      <c r="M15" s="88">
        <f t="shared" si="1"/>
        <v>1800.0964145092184</v>
      </c>
      <c r="N15" s="75">
        <f t="shared" si="2"/>
        <v>1.4989938090687271E-2</v>
      </c>
    </row>
    <row r="16" spans="2:14" ht="12.95" customHeight="1" thickBot="1" x14ac:dyDescent="0.25">
      <c r="B16" s="43"/>
      <c r="C16" s="33" t="s">
        <v>5</v>
      </c>
      <c r="D16" s="89">
        <v>1827.0797483199799</v>
      </c>
      <c r="E16" s="89">
        <v>1800.0964145092184</v>
      </c>
      <c r="F16" s="75">
        <f t="shared" si="0"/>
        <v>1.4989938090687271E-2</v>
      </c>
      <c r="J16" s="43"/>
      <c r="K16" s="20" t="s">
        <v>101</v>
      </c>
      <c r="L16" s="93"/>
      <c r="M16" s="89">
        <f t="shared" si="1"/>
        <v>1800.0964145092184</v>
      </c>
      <c r="N16" s="75">
        <f t="shared" si="2"/>
        <v>1.4989938090687271E-2</v>
      </c>
    </row>
    <row r="17" spans="1:14" ht="14.1" customHeight="1" thickBot="1" x14ac:dyDescent="0.25">
      <c r="B17" s="124" t="s">
        <v>9</v>
      </c>
      <c r="C17" s="124"/>
      <c r="D17" s="88">
        <v>-28.597000000000001</v>
      </c>
      <c r="E17" s="88">
        <v>-28.224</v>
      </c>
      <c r="F17" s="75">
        <f t="shared" si="0"/>
        <v>1.3215702947845909E-2</v>
      </c>
      <c r="J17" s="124" t="s">
        <v>105</v>
      </c>
      <c r="K17" s="124"/>
      <c r="L17" s="90"/>
      <c r="M17" s="88">
        <f t="shared" si="1"/>
        <v>-28.224</v>
      </c>
      <c r="N17" s="75">
        <f t="shared" si="2"/>
        <v>1.3215702947845909E-2</v>
      </c>
    </row>
    <row r="18" spans="1:14" ht="14.1" customHeight="1" thickBot="1" x14ac:dyDescent="0.25">
      <c r="B18" s="124" t="s">
        <v>12</v>
      </c>
      <c r="C18" s="124"/>
      <c r="D18" s="88">
        <v>6206.4749999999967</v>
      </c>
      <c r="E18" s="88">
        <v>5935.3630000000003</v>
      </c>
      <c r="F18" s="75">
        <f t="shared" si="0"/>
        <v>4.5677408441572309E-2</v>
      </c>
      <c r="J18" s="124" t="s">
        <v>108</v>
      </c>
      <c r="K18" s="124"/>
      <c r="L18" s="90"/>
      <c r="M18" s="88">
        <f t="shared" si="1"/>
        <v>5935.3630000000003</v>
      </c>
      <c r="N18" s="75">
        <f t="shared" si="2"/>
        <v>4.5677408441572309E-2</v>
      </c>
    </row>
    <row r="23" spans="1:14" ht="15.75" x14ac:dyDescent="0.2">
      <c r="B23" s="123" t="s">
        <v>83</v>
      </c>
      <c r="C23" s="123"/>
      <c r="D23" s="123"/>
      <c r="E23" s="123"/>
      <c r="F23" s="123"/>
      <c r="J23" s="123" t="s">
        <v>111</v>
      </c>
      <c r="K23" s="123"/>
      <c r="L23" s="123"/>
      <c r="M23" s="123"/>
      <c r="N23" s="123"/>
    </row>
    <row r="25" spans="1:14" ht="24" x14ac:dyDescent="0.2">
      <c r="B25" s="125" t="s">
        <v>0</v>
      </c>
      <c r="C25" s="1"/>
      <c r="D25" s="1" t="s">
        <v>189</v>
      </c>
      <c r="E25" s="1" t="s">
        <v>1</v>
      </c>
      <c r="F25" s="127" t="s">
        <v>3</v>
      </c>
      <c r="J25" s="125" t="s">
        <v>0</v>
      </c>
      <c r="K25" s="1"/>
      <c r="L25" s="1" t="s">
        <v>189</v>
      </c>
      <c r="M25" s="1" t="s">
        <v>1</v>
      </c>
      <c r="N25" s="127" t="s">
        <v>112</v>
      </c>
    </row>
    <row r="26" spans="1:14" ht="13.5" thickBot="1" x14ac:dyDescent="0.25">
      <c r="B26" s="126"/>
      <c r="C26" s="2"/>
      <c r="D26" s="2" t="s">
        <v>190</v>
      </c>
      <c r="E26" s="2" t="s">
        <v>2</v>
      </c>
      <c r="F26" s="128"/>
      <c r="J26" s="126"/>
      <c r="K26" s="2"/>
      <c r="L26" s="2" t="s">
        <v>190</v>
      </c>
      <c r="M26" s="2" t="s">
        <v>2</v>
      </c>
      <c r="N26" s="128"/>
    </row>
    <row r="27" spans="1:14" ht="13.5" thickBot="1" x14ac:dyDescent="0.25">
      <c r="B27" s="3" t="s">
        <v>4</v>
      </c>
      <c r="C27" s="4"/>
      <c r="D27" s="88">
        <v>569.32518096134902</v>
      </c>
      <c r="E27" s="88">
        <v>547.80616010605922</v>
      </c>
      <c r="F27" s="75">
        <f>+D27/E27-1</f>
        <v>3.9282181221042878E-2</v>
      </c>
      <c r="G27" s="87"/>
      <c r="J27" s="124" t="s">
        <v>4</v>
      </c>
      <c r="K27" s="124"/>
      <c r="L27" s="88"/>
      <c r="M27" s="88">
        <f t="shared" ref="M27:M38" si="3">+E27</f>
        <v>547.80616010605922</v>
      </c>
      <c r="N27" s="75">
        <f t="shared" ref="N27:N38" si="4">+F27</f>
        <v>3.9282181221042878E-2</v>
      </c>
    </row>
    <row r="28" spans="1:14" ht="13.5" thickBot="1" x14ac:dyDescent="0.25">
      <c r="A28" s="87"/>
      <c r="B28" s="43"/>
      <c r="C28" s="20" t="s">
        <v>5</v>
      </c>
      <c r="D28" s="95">
        <v>192.83295907857101</v>
      </c>
      <c r="E28" s="95">
        <v>190.494</v>
      </c>
      <c r="F28" s="75">
        <f t="shared" ref="F28:F38" si="5">+D28/E28-1</f>
        <v>1.2278387133300761E-2</v>
      </c>
      <c r="G28" s="74"/>
      <c r="J28" s="42"/>
      <c r="K28" s="20" t="s">
        <v>101</v>
      </c>
      <c r="L28" s="95"/>
      <c r="M28" s="95">
        <f t="shared" si="3"/>
        <v>190.494</v>
      </c>
      <c r="N28" s="75">
        <f t="shared" si="4"/>
        <v>1.2278387133300761E-2</v>
      </c>
    </row>
    <row r="29" spans="1:14" ht="13.5" thickBot="1" x14ac:dyDescent="0.25">
      <c r="A29" s="74"/>
      <c r="B29" s="43"/>
      <c r="C29" s="20" t="s">
        <v>6</v>
      </c>
      <c r="D29" s="95">
        <v>361.21441603107002</v>
      </c>
      <c r="E29" s="95">
        <v>336.44099999999997</v>
      </c>
      <c r="F29" s="75">
        <f t="shared" si="5"/>
        <v>7.3633760543661664E-2</v>
      </c>
      <c r="G29" s="87"/>
      <c r="J29" s="42"/>
      <c r="K29" s="20" t="s">
        <v>102</v>
      </c>
      <c r="L29" s="95"/>
      <c r="M29" s="95">
        <f t="shared" si="3"/>
        <v>336.44099999999997</v>
      </c>
      <c r="N29" s="75">
        <f t="shared" si="4"/>
        <v>7.3633760543661664E-2</v>
      </c>
    </row>
    <row r="30" spans="1:14" ht="13.5" thickBot="1" x14ac:dyDescent="0.25">
      <c r="B30" s="43"/>
      <c r="C30" s="20" t="s">
        <v>7</v>
      </c>
      <c r="D30" s="95">
        <v>48.6866104118848</v>
      </c>
      <c r="E30" s="95">
        <v>46.415999999999997</v>
      </c>
      <c r="F30" s="75">
        <f t="shared" si="5"/>
        <v>4.8918700704171147E-2</v>
      </c>
      <c r="J30" s="42"/>
      <c r="K30" s="20" t="s">
        <v>103</v>
      </c>
      <c r="L30" s="95"/>
      <c r="M30" s="95">
        <f t="shared" si="3"/>
        <v>46.415999999999997</v>
      </c>
      <c r="N30" s="75">
        <f t="shared" si="4"/>
        <v>4.8918700704171147E-2</v>
      </c>
    </row>
    <row r="31" spans="1:14" ht="13.5" thickBot="1" x14ac:dyDescent="0.25">
      <c r="A31" s="87"/>
      <c r="B31" s="43"/>
      <c r="C31" s="20" t="s">
        <v>8</v>
      </c>
      <c r="D31" s="95">
        <v>9.3740609412734308</v>
      </c>
      <c r="E31" s="95">
        <v>8.7289999999999992</v>
      </c>
      <c r="F31" s="75">
        <f t="shared" si="5"/>
        <v>7.3898607088261237E-2</v>
      </c>
      <c r="J31" s="42"/>
      <c r="K31" s="20" t="s">
        <v>104</v>
      </c>
      <c r="L31" s="95"/>
      <c r="M31" s="95">
        <f t="shared" si="3"/>
        <v>8.7289999999999992</v>
      </c>
      <c r="N31" s="75">
        <f t="shared" si="4"/>
        <v>7.3898607088261237E-2</v>
      </c>
    </row>
    <row r="32" spans="1:14" ht="13.5" thickBot="1" x14ac:dyDescent="0.25">
      <c r="A32" s="74"/>
      <c r="B32" s="43"/>
      <c r="C32" s="20" t="s">
        <v>9</v>
      </c>
      <c r="D32" s="95">
        <v>-42.782865501451504</v>
      </c>
      <c r="E32" s="95">
        <v>-34.273839893940767</v>
      </c>
      <c r="F32" s="75">
        <f t="shared" si="5"/>
        <v>0.24826589707606805</v>
      </c>
      <c r="J32" s="43"/>
      <c r="K32" s="20" t="s">
        <v>105</v>
      </c>
      <c r="L32" s="95"/>
      <c r="M32" s="95">
        <f t="shared" si="3"/>
        <v>-34.273839893940767</v>
      </c>
      <c r="N32" s="75">
        <f t="shared" si="4"/>
        <v>0.24826589707606805</v>
      </c>
    </row>
    <row r="33" spans="2:14" ht="13.5" thickBot="1" x14ac:dyDescent="0.25">
      <c r="B33" s="3" t="s">
        <v>10</v>
      </c>
      <c r="C33" s="4"/>
      <c r="D33" s="88">
        <v>190.147070718675</v>
      </c>
      <c r="E33" s="88">
        <v>176.9134253847223</v>
      </c>
      <c r="F33" s="75">
        <f t="shared" si="5"/>
        <v>7.4802945594289127E-2</v>
      </c>
      <c r="J33" s="124" t="s">
        <v>106</v>
      </c>
      <c r="K33" s="124"/>
      <c r="L33" s="88"/>
      <c r="M33" s="88">
        <f t="shared" si="3"/>
        <v>176.9134253847223</v>
      </c>
      <c r="N33" s="75">
        <f t="shared" si="4"/>
        <v>7.4802945594289127E-2</v>
      </c>
    </row>
    <row r="34" spans="2:14" ht="13.5" thickBot="1" x14ac:dyDescent="0.25">
      <c r="B34" s="43"/>
      <c r="C34" s="20" t="s">
        <v>197</v>
      </c>
      <c r="D34" s="95">
        <v>190.147070718675</v>
      </c>
      <c r="E34" s="95">
        <v>176.9134253847223</v>
      </c>
      <c r="F34" s="75">
        <f t="shared" si="5"/>
        <v>7.4802945594289127E-2</v>
      </c>
      <c r="J34" s="43"/>
      <c r="K34" s="20" t="s">
        <v>198</v>
      </c>
      <c r="L34" s="95"/>
      <c r="M34" s="95">
        <f t="shared" si="3"/>
        <v>176.9134253847223</v>
      </c>
      <c r="N34" s="75">
        <f t="shared" si="4"/>
        <v>7.4802945594289127E-2</v>
      </c>
    </row>
    <row r="35" spans="2:14" ht="13.5" thickBot="1" x14ac:dyDescent="0.25">
      <c r="B35" s="3" t="s">
        <v>11</v>
      </c>
      <c r="C35" s="4"/>
      <c r="D35" s="88">
        <v>110.84974831997701</v>
      </c>
      <c r="E35" s="88">
        <v>111.32341450921848</v>
      </c>
      <c r="F35" s="75">
        <f t="shared" si="5"/>
        <v>-4.2548658009609053E-3</v>
      </c>
      <c r="J35" s="124" t="s">
        <v>107</v>
      </c>
      <c r="K35" s="124"/>
      <c r="L35" s="88"/>
      <c r="M35" s="88">
        <f t="shared" si="3"/>
        <v>111.32341450921848</v>
      </c>
      <c r="N35" s="75">
        <f t="shared" si="4"/>
        <v>-4.2548658009609053E-3</v>
      </c>
    </row>
    <row r="36" spans="2:14" ht="13.5" thickBot="1" x14ac:dyDescent="0.25">
      <c r="B36" s="43"/>
      <c r="C36" s="20" t="s">
        <v>5</v>
      </c>
      <c r="D36" s="95">
        <v>110.84974831997701</v>
      </c>
      <c r="E36" s="95">
        <v>111.32341450921848</v>
      </c>
      <c r="F36" s="75">
        <f t="shared" si="5"/>
        <v>-4.2548658009609053E-3</v>
      </c>
      <c r="J36" s="43"/>
      <c r="K36" s="20" t="s">
        <v>101</v>
      </c>
      <c r="L36" s="95"/>
      <c r="M36" s="95">
        <f t="shared" si="3"/>
        <v>111.32341450921848</v>
      </c>
      <c r="N36" s="75">
        <f t="shared" si="4"/>
        <v>-4.2548658009609053E-3</v>
      </c>
    </row>
    <row r="37" spans="2:14" ht="13.5" thickBot="1" x14ac:dyDescent="0.25">
      <c r="B37" s="3" t="s">
        <v>9</v>
      </c>
      <c r="C37" s="4"/>
      <c r="D37" s="88">
        <v>-3.1360000000000001</v>
      </c>
      <c r="E37" s="88">
        <v>-2.2559999999999998</v>
      </c>
      <c r="F37" s="75">
        <f t="shared" si="5"/>
        <v>0.39007092198581583</v>
      </c>
      <c r="J37" s="124" t="s">
        <v>105</v>
      </c>
      <c r="K37" s="124"/>
      <c r="L37" s="88"/>
      <c r="M37" s="88">
        <f t="shared" si="3"/>
        <v>-2.2559999999999998</v>
      </c>
      <c r="N37" s="75">
        <f t="shared" si="4"/>
        <v>0.39007092198581583</v>
      </c>
    </row>
    <row r="38" spans="2:14" ht="13.5" thickBot="1" x14ac:dyDescent="0.25">
      <c r="B38" s="10" t="s">
        <v>184</v>
      </c>
      <c r="C38" s="4"/>
      <c r="D38" s="88">
        <v>867.18600000000004</v>
      </c>
      <c r="E38" s="88">
        <v>833.78700000000003</v>
      </c>
      <c r="F38" s="75">
        <f t="shared" si="5"/>
        <v>4.0056992973025451E-2</v>
      </c>
      <c r="J38" s="124" t="s">
        <v>110</v>
      </c>
      <c r="K38" s="124"/>
      <c r="L38" s="88"/>
      <c r="M38" s="88">
        <f t="shared" si="3"/>
        <v>833.78700000000003</v>
      </c>
      <c r="N38" s="75">
        <f t="shared" si="4"/>
        <v>4.0056992973025451E-2</v>
      </c>
    </row>
    <row r="42" spans="2:14" ht="15.75" x14ac:dyDescent="0.2">
      <c r="B42" s="123" t="s">
        <v>84</v>
      </c>
      <c r="C42" s="123"/>
      <c r="D42" s="123"/>
      <c r="E42" s="123"/>
      <c r="F42" s="123"/>
      <c r="J42" s="123" t="s">
        <v>113</v>
      </c>
      <c r="K42" s="123"/>
      <c r="L42" s="123"/>
      <c r="M42" s="123"/>
      <c r="N42" s="123"/>
    </row>
    <row r="45" spans="2:14" ht="15.75" customHeight="1" x14ac:dyDescent="0.2">
      <c r="B45" s="125" t="s">
        <v>0</v>
      </c>
      <c r="C45" s="1"/>
      <c r="D45" s="1" t="s">
        <v>189</v>
      </c>
      <c r="E45" s="1" t="s">
        <v>1</v>
      </c>
      <c r="F45" s="127" t="s">
        <v>3</v>
      </c>
      <c r="J45" s="125" t="s">
        <v>0</v>
      </c>
      <c r="K45" s="1"/>
      <c r="L45" s="1" t="s">
        <v>189</v>
      </c>
      <c r="M45" s="1" t="s">
        <v>1</v>
      </c>
      <c r="N45" s="127" t="s">
        <v>112</v>
      </c>
    </row>
    <row r="46" spans="2:14" ht="13.5" thickBot="1" x14ac:dyDescent="0.25">
      <c r="B46" s="126"/>
      <c r="C46" s="2"/>
      <c r="D46" s="2" t="s">
        <v>190</v>
      </c>
      <c r="E46" s="2" t="s">
        <v>2</v>
      </c>
      <c r="F46" s="128"/>
      <c r="J46" s="126"/>
      <c r="K46" s="2"/>
      <c r="L46" s="2" t="s">
        <v>190</v>
      </c>
      <c r="M46" s="2" t="s">
        <v>2</v>
      </c>
      <c r="N46" s="128"/>
    </row>
    <row r="47" spans="2:14" ht="13.5" thickBot="1" x14ac:dyDescent="0.25">
      <c r="B47" s="11" t="s">
        <v>4</v>
      </c>
      <c r="C47" s="5"/>
      <c r="D47" s="109">
        <v>108.77524083440599</v>
      </c>
      <c r="E47" s="97">
        <v>104.44846084483147</v>
      </c>
      <c r="F47" s="75">
        <f t="shared" ref="F47:F55" si="6">+D47/E47-1</f>
        <v>4.1425023926416449E-2</v>
      </c>
      <c r="G47" s="12"/>
      <c r="J47" s="11" t="s">
        <v>4</v>
      </c>
      <c r="K47" s="5"/>
      <c r="L47" s="96"/>
      <c r="M47" s="97">
        <f t="shared" ref="M47:M55" si="7">+E47</f>
        <v>104.44846084483147</v>
      </c>
      <c r="N47" s="75">
        <f t="shared" ref="N47:N55" si="8">+F47</f>
        <v>4.1425023926416449E-2</v>
      </c>
    </row>
    <row r="48" spans="2:14" ht="13.5" thickBot="1" x14ac:dyDescent="0.25">
      <c r="B48" s="11" t="s">
        <v>10</v>
      </c>
      <c r="C48" s="5"/>
      <c r="D48" s="109">
        <v>53.656923921826795</v>
      </c>
      <c r="E48" s="97">
        <v>49.704418744638332</v>
      </c>
      <c r="F48" s="75">
        <f t="shared" si="6"/>
        <v>7.9520197137700643E-2</v>
      </c>
      <c r="G48" s="12"/>
      <c r="J48" s="11" t="s">
        <v>106</v>
      </c>
      <c r="K48" s="5"/>
      <c r="L48" s="96"/>
      <c r="M48" s="97">
        <f t="shared" si="7"/>
        <v>49.704418744638332</v>
      </c>
      <c r="N48" s="75">
        <f t="shared" si="8"/>
        <v>7.9520197137700643E-2</v>
      </c>
    </row>
    <row r="49" spans="2:14" ht="13.5" thickBot="1" x14ac:dyDescent="0.25">
      <c r="B49" s="11" t="s">
        <v>11</v>
      </c>
      <c r="C49" s="5"/>
      <c r="D49" s="109">
        <v>30.657835243767401</v>
      </c>
      <c r="E49" s="97">
        <v>28.974120410530197</v>
      </c>
      <c r="F49" s="75">
        <f t="shared" si="6"/>
        <v>5.811099040733203E-2</v>
      </c>
      <c r="G49" s="12"/>
      <c r="J49" s="11" t="s">
        <v>107</v>
      </c>
      <c r="K49" s="5"/>
      <c r="L49" s="96"/>
      <c r="M49" s="97">
        <f t="shared" si="7"/>
        <v>28.974120410530197</v>
      </c>
      <c r="N49" s="75">
        <f t="shared" si="8"/>
        <v>5.811099040733203E-2</v>
      </c>
    </row>
    <row r="50" spans="2:14" ht="13.5" thickBot="1" x14ac:dyDescent="0.25">
      <c r="B50" s="10" t="s">
        <v>97</v>
      </c>
      <c r="C50" s="4"/>
      <c r="D50" s="94">
        <v>193.09</v>
      </c>
      <c r="E50" s="88">
        <v>183.12700000000001</v>
      </c>
      <c r="F50" s="75">
        <f t="shared" si="6"/>
        <v>5.4404866568010135E-2</v>
      </c>
      <c r="G50" s="12"/>
      <c r="J50" s="10" t="s">
        <v>114</v>
      </c>
      <c r="K50" s="4"/>
      <c r="L50" s="94"/>
      <c r="M50" s="88">
        <f t="shared" si="7"/>
        <v>183.12700000000001</v>
      </c>
      <c r="N50" s="75">
        <f t="shared" si="8"/>
        <v>5.4404866568010135E-2</v>
      </c>
    </row>
    <row r="51" spans="2:14" ht="13.5" thickBot="1" x14ac:dyDescent="0.25">
      <c r="B51" s="111" t="s">
        <v>72</v>
      </c>
      <c r="C51" s="4"/>
      <c r="D51" s="95">
        <v>-1.478</v>
      </c>
      <c r="E51" s="95">
        <v>-12.321999999999999</v>
      </c>
      <c r="F51" s="75">
        <f t="shared" si="6"/>
        <v>-0.88005193962019157</v>
      </c>
      <c r="G51" s="12"/>
      <c r="J51" s="111" t="s">
        <v>134</v>
      </c>
      <c r="K51" s="4"/>
      <c r="L51" s="94"/>
      <c r="M51" s="95">
        <f t="shared" si="7"/>
        <v>-12.321999999999999</v>
      </c>
      <c r="N51" s="75">
        <f t="shared" si="8"/>
        <v>-0.88005193962019157</v>
      </c>
    </row>
    <row r="52" spans="2:14" ht="13.5" thickBot="1" x14ac:dyDescent="0.25">
      <c r="B52" s="111" t="s">
        <v>14</v>
      </c>
      <c r="C52" s="4"/>
      <c r="D52" s="95">
        <v>-30.61</v>
      </c>
      <c r="E52" s="95">
        <v>-26.45</v>
      </c>
      <c r="F52" s="75">
        <f t="shared" si="6"/>
        <v>0.15727788279773147</v>
      </c>
      <c r="G52" s="12"/>
      <c r="J52" s="111" t="s">
        <v>116</v>
      </c>
      <c r="K52" s="4"/>
      <c r="L52" s="94"/>
      <c r="M52" s="95">
        <f t="shared" si="7"/>
        <v>-26.45</v>
      </c>
      <c r="N52" s="75">
        <f t="shared" si="8"/>
        <v>0.15727788279773147</v>
      </c>
    </row>
    <row r="53" spans="2:14" ht="13.5" thickBot="1" x14ac:dyDescent="0.25">
      <c r="B53" s="111" t="s">
        <v>15</v>
      </c>
      <c r="C53" s="4"/>
      <c r="D53" s="95">
        <v>5.79</v>
      </c>
      <c r="E53" s="95">
        <v>-9.8000000000000004E-2</v>
      </c>
      <c r="F53" s="75" t="s">
        <v>185</v>
      </c>
      <c r="G53" s="12"/>
      <c r="J53" s="111" t="s">
        <v>117</v>
      </c>
      <c r="K53" s="4"/>
      <c r="L53" s="94"/>
      <c r="M53" s="95">
        <f t="shared" si="7"/>
        <v>-9.8000000000000004E-2</v>
      </c>
      <c r="N53" s="75" t="str">
        <f t="shared" si="8"/>
        <v>n.m.</v>
      </c>
    </row>
    <row r="54" spans="2:14" ht="13.5" thickBot="1" x14ac:dyDescent="0.25">
      <c r="B54" s="111" t="s">
        <v>16</v>
      </c>
      <c r="C54" s="4"/>
      <c r="D54" s="95">
        <v>0.99927300000000008</v>
      </c>
      <c r="E54" s="95">
        <v>1.8109999999999999</v>
      </c>
      <c r="F54" s="75">
        <f t="shared" si="6"/>
        <v>-0.44822032026504688</v>
      </c>
      <c r="G54" s="12"/>
      <c r="J54" s="111" t="s">
        <v>168</v>
      </c>
      <c r="K54" s="4"/>
      <c r="L54" s="94"/>
      <c r="M54" s="95">
        <f t="shared" si="7"/>
        <v>1.8109999999999999</v>
      </c>
      <c r="N54" s="75">
        <f t="shared" si="8"/>
        <v>-0.44822032026504688</v>
      </c>
    </row>
    <row r="55" spans="2:14" ht="13.5" thickBot="1" x14ac:dyDescent="0.25">
      <c r="B55" s="10" t="s">
        <v>17</v>
      </c>
      <c r="C55" s="4"/>
      <c r="D55" s="94">
        <v>167.79127320745999</v>
      </c>
      <c r="E55" s="88">
        <f>146068.067786209/1000</f>
        <v>146.06806778620899</v>
      </c>
      <c r="F55" s="75">
        <f t="shared" si="6"/>
        <v>0.14871974244943087</v>
      </c>
      <c r="G55" s="12"/>
      <c r="J55" s="10" t="s">
        <v>200</v>
      </c>
      <c r="K55" s="4"/>
      <c r="L55" s="94"/>
      <c r="M55" s="88">
        <f t="shared" si="7"/>
        <v>146.06806778620899</v>
      </c>
      <c r="N55" s="75">
        <f t="shared" si="8"/>
        <v>0.14871974244943087</v>
      </c>
    </row>
    <row r="57" spans="2:14" x14ac:dyDescent="0.2">
      <c r="D57" s="79"/>
      <c r="E57" s="74"/>
    </row>
    <row r="58" spans="2:14" x14ac:dyDescent="0.2">
      <c r="E58" s="74"/>
    </row>
    <row r="59" spans="2:14" x14ac:dyDescent="0.2">
      <c r="E59" s="74"/>
    </row>
  </sheetData>
  <mergeCells count="33">
    <mergeCell ref="J45:J46"/>
    <mergeCell ref="N45:N46"/>
    <mergeCell ref="B5:B6"/>
    <mergeCell ref="J5:J6"/>
    <mergeCell ref="J15:K15"/>
    <mergeCell ref="J17:K17"/>
    <mergeCell ref="J18:K18"/>
    <mergeCell ref="J23:N23"/>
    <mergeCell ref="J25:J26"/>
    <mergeCell ref="N25:N26"/>
    <mergeCell ref="B45:B46"/>
    <mergeCell ref="F45:F46"/>
    <mergeCell ref="J27:K27"/>
    <mergeCell ref="B42:F42"/>
    <mergeCell ref="B17:C17"/>
    <mergeCell ref="B18:C18"/>
    <mergeCell ref="J3:N3"/>
    <mergeCell ref="N5:N6"/>
    <mergeCell ref="J7:K7"/>
    <mergeCell ref="J13:K13"/>
    <mergeCell ref="B15:C15"/>
    <mergeCell ref="B3:F3"/>
    <mergeCell ref="B25:B26"/>
    <mergeCell ref="F25:F26"/>
    <mergeCell ref="F5:F6"/>
    <mergeCell ref="B7:C7"/>
    <mergeCell ref="B13:C13"/>
    <mergeCell ref="B23:F23"/>
    <mergeCell ref="J42:N42"/>
    <mergeCell ref="J33:K33"/>
    <mergeCell ref="J35:K35"/>
    <mergeCell ref="J37:K37"/>
    <mergeCell ref="J38:K38"/>
  </mergeCells>
  <pageMargins left="0.7" right="0.7" top="0.75" bottom="0.75" header="0.3" footer="0.3"/>
  <pageSetup scale="92" orientation="portrait" r:id="rId1"/>
  <colBreaks count="1" manualBreakCount="1">
    <brk id="7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19"/>
  <sheetViews>
    <sheetView showGridLines="0" zoomScaleNormal="100" workbookViewId="0">
      <selection activeCell="D14" sqref="D14:D18"/>
    </sheetView>
  </sheetViews>
  <sheetFormatPr baseColWidth="10" defaultRowHeight="12.75" x14ac:dyDescent="0.2"/>
  <cols>
    <col min="2" max="2" width="10.85546875" style="14"/>
    <col min="3" max="3" width="31.28515625" style="14" customWidth="1"/>
    <col min="7" max="7" width="6" customWidth="1"/>
    <col min="8" max="8" width="2.42578125" style="51" customWidth="1"/>
    <col min="9" max="9" width="3.85546875" customWidth="1"/>
    <col min="10" max="10" width="10.85546875" style="14"/>
    <col min="11" max="11" width="27.28515625" style="14" customWidth="1"/>
  </cols>
  <sheetData>
    <row r="3" spans="2:14" ht="15.75" x14ac:dyDescent="0.2">
      <c r="B3" s="123" t="s">
        <v>85</v>
      </c>
      <c r="C3" s="123"/>
      <c r="D3" s="123"/>
      <c r="E3" s="123"/>
      <c r="F3" s="123"/>
      <c r="J3" s="123" t="s">
        <v>173</v>
      </c>
      <c r="K3" s="123"/>
      <c r="L3" s="123"/>
      <c r="M3" s="123"/>
      <c r="N3" s="123"/>
    </row>
    <row r="5" spans="2:14" ht="17.25" customHeight="1" x14ac:dyDescent="0.2">
      <c r="B5" s="129" t="s">
        <v>0</v>
      </c>
      <c r="C5" s="125"/>
      <c r="D5" s="1" t="s">
        <v>189</v>
      </c>
      <c r="E5" s="1" t="s">
        <v>1</v>
      </c>
      <c r="F5" s="127" t="s">
        <v>3</v>
      </c>
      <c r="J5" s="131" t="s">
        <v>0</v>
      </c>
      <c r="K5" s="131"/>
      <c r="L5" s="1" t="s">
        <v>189</v>
      </c>
      <c r="M5" s="1" t="s">
        <v>1</v>
      </c>
      <c r="N5" s="127" t="s">
        <v>112</v>
      </c>
    </row>
    <row r="6" spans="2:14" ht="10.5" customHeight="1" thickBot="1" x14ac:dyDescent="0.25">
      <c r="B6" s="130"/>
      <c r="C6" s="126"/>
      <c r="D6" s="2" t="s">
        <v>190</v>
      </c>
      <c r="E6" s="2" t="s">
        <v>2</v>
      </c>
      <c r="F6" s="128"/>
      <c r="J6" s="132"/>
      <c r="K6" s="132"/>
      <c r="L6" s="2" t="s">
        <v>190</v>
      </c>
      <c r="M6" s="2" t="s">
        <v>2</v>
      </c>
      <c r="N6" s="128"/>
    </row>
    <row r="7" spans="2:14" ht="13.5" thickBot="1" x14ac:dyDescent="0.25">
      <c r="B7" s="124" t="s">
        <v>18</v>
      </c>
      <c r="C7" s="124"/>
      <c r="D7" s="88">
        <f>+'Main KPIs'!D7</f>
        <v>2263.0811809613465</v>
      </c>
      <c r="E7" s="88">
        <f>+'Main KPIs'!E7</f>
        <v>2112.6551601060592</v>
      </c>
      <c r="F7" s="75">
        <f t="shared" ref="F7:F18" si="0">+D7/E7-1</f>
        <v>7.1202354125666112E-2</v>
      </c>
      <c r="G7" s="12"/>
      <c r="H7" s="52"/>
      <c r="I7" s="12"/>
      <c r="J7" s="124" t="s">
        <v>172</v>
      </c>
      <c r="K7" s="124"/>
      <c r="L7" s="88">
        <f>+D7</f>
        <v>2263.0811809613465</v>
      </c>
      <c r="M7" s="88">
        <f>+E7</f>
        <v>2112.6551601060592</v>
      </c>
      <c r="N7" s="75">
        <f>+F7</f>
        <v>7.1202354125666112E-2</v>
      </c>
    </row>
    <row r="8" spans="2:14" ht="13.5" thickBot="1" x14ac:dyDescent="0.25">
      <c r="B8" s="32"/>
      <c r="C8" s="53" t="s">
        <v>5</v>
      </c>
      <c r="D8" s="89">
        <f>+'Main KPIs'!D8</f>
        <v>1787.8819590785699</v>
      </c>
      <c r="E8" s="89">
        <f>+'Main KPIs'!E8</f>
        <v>1669.1120000000001</v>
      </c>
      <c r="F8" s="75">
        <f t="shared" si="0"/>
        <v>7.115757305595416E-2</v>
      </c>
      <c r="G8" s="12"/>
      <c r="H8" s="52"/>
      <c r="I8" s="12"/>
      <c r="J8" s="32"/>
      <c r="K8" s="53" t="s">
        <v>101</v>
      </c>
      <c r="L8" s="89">
        <f t="shared" ref="L8:L18" si="1">+D8</f>
        <v>1787.8819590785699</v>
      </c>
      <c r="M8" s="89">
        <f t="shared" ref="M8:M18" si="2">+E8</f>
        <v>1669.1120000000001</v>
      </c>
      <c r="N8" s="75">
        <f t="shared" ref="N8:N18" si="3">+F8</f>
        <v>7.115757305595416E-2</v>
      </c>
    </row>
    <row r="9" spans="2:14" ht="13.5" thickBot="1" x14ac:dyDescent="0.25">
      <c r="B9" s="32"/>
      <c r="C9" s="53" t="s">
        <v>6</v>
      </c>
      <c r="D9" s="89">
        <f>+'Main KPIs'!D9</f>
        <v>440.31841603107</v>
      </c>
      <c r="E9" s="89">
        <f>+'Main KPIs'!E9</f>
        <v>416.28899999999999</v>
      </c>
      <c r="F9" s="75">
        <f t="shared" si="0"/>
        <v>5.7722918527921774E-2</v>
      </c>
      <c r="G9" s="12"/>
      <c r="H9" s="52"/>
      <c r="I9" s="12"/>
      <c r="J9" s="32"/>
      <c r="K9" s="53" t="s">
        <v>102</v>
      </c>
      <c r="L9" s="89">
        <f t="shared" si="1"/>
        <v>440.31841603107</v>
      </c>
      <c r="M9" s="89">
        <f t="shared" si="2"/>
        <v>416.28899999999999</v>
      </c>
      <c r="N9" s="75">
        <f t="shared" si="3"/>
        <v>5.7722918527921774E-2</v>
      </c>
    </row>
    <row r="10" spans="2:14" ht="13.5" thickBot="1" x14ac:dyDescent="0.25">
      <c r="B10" s="32"/>
      <c r="C10" s="53" t="s">
        <v>7</v>
      </c>
      <c r="D10" s="89">
        <f>+'Main KPIs'!D10</f>
        <v>133.99161041188498</v>
      </c>
      <c r="E10" s="89">
        <f>+'Main KPIs'!E10</f>
        <v>120.34399999999999</v>
      </c>
      <c r="F10" s="75">
        <f t="shared" si="0"/>
        <v>0.11340499245400681</v>
      </c>
      <c r="G10" s="12"/>
      <c r="H10" s="52"/>
      <c r="I10" s="12"/>
      <c r="J10" s="32"/>
      <c r="K10" s="53" t="s">
        <v>103</v>
      </c>
      <c r="L10" s="89">
        <f t="shared" si="1"/>
        <v>133.99161041188498</v>
      </c>
      <c r="M10" s="89">
        <f t="shared" si="2"/>
        <v>120.34399999999999</v>
      </c>
      <c r="N10" s="75">
        <f t="shared" si="3"/>
        <v>0.11340499245400681</v>
      </c>
    </row>
    <row r="11" spans="2:14" ht="13.5" thickBot="1" x14ac:dyDescent="0.25">
      <c r="B11" s="32"/>
      <c r="C11" s="53" t="s">
        <v>8</v>
      </c>
      <c r="D11" s="89">
        <f>+'Main KPIs'!D11</f>
        <v>9.6550609412734296</v>
      </c>
      <c r="E11" s="89">
        <f>+'Main KPIs'!E11</f>
        <v>9.0960000000000001</v>
      </c>
      <c r="F11" s="75">
        <f t="shared" si="0"/>
        <v>6.1462284660667166E-2</v>
      </c>
      <c r="G11" s="12"/>
      <c r="H11" s="52"/>
      <c r="I11" s="12"/>
      <c r="J11" s="32"/>
      <c r="K11" s="53" t="s">
        <v>104</v>
      </c>
      <c r="L11" s="89">
        <f t="shared" si="1"/>
        <v>9.6550609412734296</v>
      </c>
      <c r="M11" s="89">
        <f t="shared" si="2"/>
        <v>9.0960000000000001</v>
      </c>
      <c r="N11" s="75">
        <f t="shared" si="3"/>
        <v>6.1462284660667166E-2</v>
      </c>
    </row>
    <row r="12" spans="2:14" ht="13.5" thickBot="1" x14ac:dyDescent="0.25">
      <c r="B12" s="32"/>
      <c r="C12" s="33" t="s">
        <v>9</v>
      </c>
      <c r="D12" s="89">
        <f>+'Main KPIs'!D12</f>
        <v>-108.765865501452</v>
      </c>
      <c r="E12" s="89">
        <f>+'Main KPIs'!E12</f>
        <v>-102.18583989394078</v>
      </c>
      <c r="F12" s="75">
        <f t="shared" si="0"/>
        <v>6.4392734006400998E-2</v>
      </c>
      <c r="G12" s="12"/>
      <c r="H12" s="52"/>
      <c r="I12" s="12"/>
      <c r="J12" s="32"/>
      <c r="K12" s="33" t="s">
        <v>105</v>
      </c>
      <c r="L12" s="89">
        <f t="shared" si="1"/>
        <v>-108.765865501452</v>
      </c>
      <c r="M12" s="89">
        <f t="shared" si="2"/>
        <v>-102.18583989394078</v>
      </c>
      <c r="N12" s="75">
        <f t="shared" si="3"/>
        <v>6.4392734006400998E-2</v>
      </c>
    </row>
    <row r="13" spans="2:14" ht="13.5" thickBot="1" x14ac:dyDescent="0.25">
      <c r="B13" s="124" t="s">
        <v>74</v>
      </c>
      <c r="C13" s="124"/>
      <c r="D13" s="88">
        <f>+'Main KPIs'!D27</f>
        <v>569.32518096134902</v>
      </c>
      <c r="E13" s="88">
        <f>+'Main KPIs'!E27</f>
        <v>547.80616010605922</v>
      </c>
      <c r="F13" s="75">
        <f t="shared" si="0"/>
        <v>3.9282181221042878E-2</v>
      </c>
      <c r="G13" s="12"/>
      <c r="H13" s="52"/>
      <c r="I13" s="12"/>
      <c r="J13" s="124" t="s">
        <v>135</v>
      </c>
      <c r="K13" s="124"/>
      <c r="L13" s="88">
        <f t="shared" si="1"/>
        <v>569.32518096134902</v>
      </c>
      <c r="M13" s="88">
        <f t="shared" si="2"/>
        <v>547.80616010605922</v>
      </c>
      <c r="N13" s="75">
        <f t="shared" si="3"/>
        <v>3.9282181221042878E-2</v>
      </c>
    </row>
    <row r="14" spans="2:14" ht="13.5" thickBot="1" x14ac:dyDescent="0.25">
      <c r="B14" s="54"/>
      <c r="C14" s="33" t="s">
        <v>5</v>
      </c>
      <c r="D14" s="89">
        <f>+'Main KPIs'!D28</f>
        <v>192.83295907857101</v>
      </c>
      <c r="E14" s="89">
        <f>+'Main KPIs'!E28</f>
        <v>190.494</v>
      </c>
      <c r="F14" s="75">
        <f t="shared" si="0"/>
        <v>1.2278387133300761E-2</v>
      </c>
      <c r="G14" s="12"/>
      <c r="H14" s="52"/>
      <c r="I14" s="12"/>
      <c r="J14" s="54"/>
      <c r="K14" s="33" t="s">
        <v>101</v>
      </c>
      <c r="L14" s="89">
        <f t="shared" si="1"/>
        <v>192.83295907857101</v>
      </c>
      <c r="M14" s="89">
        <f t="shared" si="2"/>
        <v>190.494</v>
      </c>
      <c r="N14" s="75">
        <f t="shared" si="3"/>
        <v>1.2278387133300761E-2</v>
      </c>
    </row>
    <row r="15" spans="2:14" ht="13.5" thickBot="1" x14ac:dyDescent="0.25">
      <c r="B15" s="54"/>
      <c r="C15" s="33" t="s">
        <v>6</v>
      </c>
      <c r="D15" s="89">
        <f>+'Main KPIs'!D29</f>
        <v>361.21441603107002</v>
      </c>
      <c r="E15" s="89">
        <f>+'Main KPIs'!E29</f>
        <v>336.44099999999997</v>
      </c>
      <c r="F15" s="75">
        <f t="shared" si="0"/>
        <v>7.3633760543661664E-2</v>
      </c>
      <c r="G15" s="12"/>
      <c r="H15" s="52"/>
      <c r="I15" s="12"/>
      <c r="J15" s="54"/>
      <c r="K15" s="33" t="s">
        <v>102</v>
      </c>
      <c r="L15" s="89">
        <f t="shared" si="1"/>
        <v>361.21441603107002</v>
      </c>
      <c r="M15" s="89">
        <f t="shared" si="2"/>
        <v>336.44099999999997</v>
      </c>
      <c r="N15" s="75">
        <f t="shared" si="3"/>
        <v>7.3633760543661664E-2</v>
      </c>
    </row>
    <row r="16" spans="2:14" ht="13.5" thickBot="1" x14ac:dyDescent="0.25">
      <c r="B16" s="54"/>
      <c r="C16" s="33" t="s">
        <v>7</v>
      </c>
      <c r="D16" s="89">
        <f>+'Main KPIs'!D30</f>
        <v>48.6866104118848</v>
      </c>
      <c r="E16" s="89">
        <f>+'Main KPIs'!E30</f>
        <v>46.415999999999997</v>
      </c>
      <c r="F16" s="75">
        <f t="shared" si="0"/>
        <v>4.8918700704171147E-2</v>
      </c>
      <c r="G16" s="12"/>
      <c r="H16" s="52"/>
      <c r="I16" s="12"/>
      <c r="J16" s="54"/>
      <c r="K16" s="33" t="s">
        <v>103</v>
      </c>
      <c r="L16" s="89">
        <f t="shared" si="1"/>
        <v>48.6866104118848</v>
      </c>
      <c r="M16" s="89">
        <f t="shared" si="2"/>
        <v>46.415999999999997</v>
      </c>
      <c r="N16" s="75">
        <f t="shared" si="3"/>
        <v>4.8918700704171147E-2</v>
      </c>
    </row>
    <row r="17" spans="2:14" ht="13.5" thickBot="1" x14ac:dyDescent="0.25">
      <c r="B17" s="54"/>
      <c r="C17" s="33" t="s">
        <v>8</v>
      </c>
      <c r="D17" s="89">
        <f>+'Main KPIs'!D31</f>
        <v>9.3740609412734308</v>
      </c>
      <c r="E17" s="89">
        <f>+'Main KPIs'!E31</f>
        <v>8.7289999999999992</v>
      </c>
      <c r="F17" s="75">
        <f t="shared" si="0"/>
        <v>7.3898607088261237E-2</v>
      </c>
      <c r="G17" s="12"/>
      <c r="H17" s="52"/>
      <c r="I17" s="12"/>
      <c r="J17" s="54"/>
      <c r="K17" s="33" t="s">
        <v>104</v>
      </c>
      <c r="L17" s="89">
        <f t="shared" si="1"/>
        <v>9.3740609412734308</v>
      </c>
      <c r="M17" s="89">
        <f t="shared" si="2"/>
        <v>8.7289999999999992</v>
      </c>
      <c r="N17" s="75">
        <f t="shared" si="3"/>
        <v>7.3898607088261237E-2</v>
      </c>
    </row>
    <row r="18" spans="2:14" ht="13.5" thickBot="1" x14ac:dyDescent="0.25">
      <c r="B18" s="54"/>
      <c r="C18" s="33" t="s">
        <v>9</v>
      </c>
      <c r="D18" s="89">
        <f>+'Main KPIs'!D32</f>
        <v>-42.782865501451504</v>
      </c>
      <c r="E18" s="89">
        <f>+'Main KPIs'!E32</f>
        <v>-34.273839893940767</v>
      </c>
      <c r="F18" s="75">
        <f t="shared" si="0"/>
        <v>0.24826589707606805</v>
      </c>
      <c r="G18" s="12"/>
      <c r="H18" s="52"/>
      <c r="I18" s="12"/>
      <c r="J18" s="54"/>
      <c r="K18" s="33" t="s">
        <v>105</v>
      </c>
      <c r="L18" s="89">
        <f t="shared" si="1"/>
        <v>-42.782865501451504</v>
      </c>
      <c r="M18" s="89">
        <f t="shared" si="2"/>
        <v>-34.273839893940767</v>
      </c>
      <c r="N18" s="75">
        <f t="shared" si="3"/>
        <v>0.24826589707606805</v>
      </c>
    </row>
    <row r="19" spans="2:14" x14ac:dyDescent="0.2">
      <c r="D19" s="45"/>
      <c r="E19" s="45"/>
      <c r="L19" s="45"/>
      <c r="M19" s="45"/>
    </row>
  </sheetData>
  <mergeCells count="11">
    <mergeCell ref="B3:F3"/>
    <mergeCell ref="J3:N3"/>
    <mergeCell ref="N5:N6"/>
    <mergeCell ref="J7:K7"/>
    <mergeCell ref="J13:K13"/>
    <mergeCell ref="B5:C6"/>
    <mergeCell ref="F5:F6"/>
    <mergeCell ref="B7:C7"/>
    <mergeCell ref="B13:C13"/>
    <mergeCell ref="J5:J6"/>
    <mergeCell ref="K5:K6"/>
  </mergeCells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O11"/>
  <sheetViews>
    <sheetView showGridLines="0" zoomScaleNormal="100" workbookViewId="0">
      <selection activeCell="K8" sqref="K8"/>
    </sheetView>
  </sheetViews>
  <sheetFormatPr baseColWidth="10" defaultRowHeight="12.75" x14ac:dyDescent="0.2"/>
  <cols>
    <col min="2" max="2" width="12.5703125" bestFit="1" customWidth="1"/>
    <col min="3" max="3" width="27" bestFit="1" customWidth="1"/>
    <col min="7" max="7" width="4.85546875" customWidth="1"/>
    <col min="8" max="8" width="2.42578125" style="51" customWidth="1"/>
    <col min="9" max="9" width="3.85546875" customWidth="1"/>
    <col min="10" max="10" width="12.5703125" bestFit="1" customWidth="1"/>
    <col min="11" max="11" width="29.42578125" customWidth="1"/>
  </cols>
  <sheetData>
    <row r="3" spans="2:15" ht="15.75" x14ac:dyDescent="0.2">
      <c r="B3" s="123" t="s">
        <v>86</v>
      </c>
      <c r="C3" s="123"/>
      <c r="D3" s="123"/>
      <c r="E3" s="123"/>
      <c r="F3" s="123"/>
      <c r="J3" s="123" t="s">
        <v>174</v>
      </c>
      <c r="K3" s="123"/>
      <c r="L3" s="123"/>
      <c r="M3" s="123"/>
      <c r="N3" s="123"/>
    </row>
    <row r="5" spans="2:15" ht="12" customHeight="1" x14ac:dyDescent="0.2">
      <c r="B5" s="131" t="s">
        <v>0</v>
      </c>
      <c r="C5" s="18"/>
      <c r="D5" s="1" t="s">
        <v>189</v>
      </c>
      <c r="E5" s="15" t="s">
        <v>1</v>
      </c>
      <c r="F5" s="133" t="s">
        <v>3</v>
      </c>
      <c r="J5" s="131" t="s">
        <v>0</v>
      </c>
      <c r="K5" s="18"/>
      <c r="L5" s="1" t="s">
        <v>189</v>
      </c>
      <c r="M5" s="1" t="s">
        <v>1</v>
      </c>
      <c r="N5" s="127" t="s">
        <v>112</v>
      </c>
    </row>
    <row r="6" spans="2:15" ht="13.5" thickBot="1" x14ac:dyDescent="0.25">
      <c r="B6" s="132"/>
      <c r="C6" s="19"/>
      <c r="D6" s="2" t="s">
        <v>190</v>
      </c>
      <c r="E6" s="16" t="s">
        <v>2</v>
      </c>
      <c r="F6" s="134"/>
      <c r="J6" s="132"/>
      <c r="K6" s="19"/>
      <c r="L6" s="2" t="s">
        <v>190</v>
      </c>
      <c r="M6" s="2" t="s">
        <v>2</v>
      </c>
      <c r="N6" s="128"/>
    </row>
    <row r="7" spans="2:15" ht="13.5" thickBot="1" x14ac:dyDescent="0.25">
      <c r="B7" s="10" t="s">
        <v>19</v>
      </c>
      <c r="C7" s="10"/>
      <c r="D7" s="98">
        <f>+'Main KPIs'!D13</f>
        <v>2144.9110707186696</v>
      </c>
      <c r="E7" s="98">
        <f>+'Main KPIs'!E13</f>
        <v>2050.8354253847224</v>
      </c>
      <c r="F7" s="75">
        <f t="shared" ref="F7:F10" si="0">+D7/E7-1</f>
        <v>4.5871864787150995E-2</v>
      </c>
      <c r="G7" s="12"/>
      <c r="H7" s="52"/>
      <c r="I7" s="12"/>
      <c r="J7" s="124" t="s">
        <v>172</v>
      </c>
      <c r="K7" s="124"/>
      <c r="L7" s="98">
        <f t="shared" ref="L7:N10" si="1">+D7</f>
        <v>2144.9110707186696</v>
      </c>
      <c r="M7" s="98">
        <f t="shared" si="1"/>
        <v>2050.8354253847224</v>
      </c>
      <c r="N7" s="75">
        <f t="shared" si="1"/>
        <v>4.5871864787150995E-2</v>
      </c>
      <c r="O7" s="12"/>
    </row>
    <row r="8" spans="2:15" ht="13.5" thickBot="1" x14ac:dyDescent="0.25">
      <c r="B8" s="12"/>
      <c r="C8" s="23" t="s">
        <v>192</v>
      </c>
      <c r="D8" s="99">
        <f>+'Main KPIs'!D14</f>
        <v>2144.9110707186696</v>
      </c>
      <c r="E8" s="99">
        <f>+'Main KPIs'!E14</f>
        <v>2050.8354253847224</v>
      </c>
      <c r="F8" s="75">
        <f t="shared" si="0"/>
        <v>4.5871864787150995E-2</v>
      </c>
      <c r="G8" s="12"/>
      <c r="H8" s="52"/>
      <c r="I8" s="12"/>
      <c r="J8" s="32"/>
      <c r="K8" s="53" t="s">
        <v>193</v>
      </c>
      <c r="L8" s="99">
        <f t="shared" si="1"/>
        <v>2144.9110707186696</v>
      </c>
      <c r="M8" s="99">
        <f t="shared" si="1"/>
        <v>2050.8354253847224</v>
      </c>
      <c r="N8" s="75">
        <f t="shared" si="1"/>
        <v>4.5871864787150995E-2</v>
      </c>
      <c r="O8" s="12"/>
    </row>
    <row r="9" spans="2:15" ht="13.5" thickBot="1" x14ac:dyDescent="0.25">
      <c r="B9" s="117" t="s">
        <v>74</v>
      </c>
      <c r="C9" s="10"/>
      <c r="D9" s="98">
        <f>+'Main KPIs'!D33</f>
        <v>190.147070718675</v>
      </c>
      <c r="E9" s="98">
        <f>+'Main KPIs'!E33</f>
        <v>176.9134253847223</v>
      </c>
      <c r="F9" s="75">
        <f t="shared" si="0"/>
        <v>7.4802945594289127E-2</v>
      </c>
      <c r="G9" s="12"/>
      <c r="H9" s="52"/>
      <c r="I9" s="12"/>
      <c r="J9" s="124" t="s">
        <v>135</v>
      </c>
      <c r="K9" s="124"/>
      <c r="L9" s="98">
        <f t="shared" si="1"/>
        <v>190.147070718675</v>
      </c>
      <c r="M9" s="98">
        <f t="shared" si="1"/>
        <v>176.9134253847223</v>
      </c>
      <c r="N9" s="75">
        <f t="shared" si="1"/>
        <v>7.4802945594289127E-2</v>
      </c>
      <c r="O9" s="12"/>
    </row>
    <row r="10" spans="2:15" ht="13.5" thickBot="1" x14ac:dyDescent="0.25">
      <c r="B10" s="12"/>
      <c r="C10" s="23" t="s">
        <v>192</v>
      </c>
      <c r="D10" s="99">
        <f>+'Main KPIs'!D34</f>
        <v>190.147070718675</v>
      </c>
      <c r="E10" s="99">
        <f>+'Main KPIs'!E34</f>
        <v>176.9134253847223</v>
      </c>
      <c r="F10" s="75">
        <f t="shared" si="0"/>
        <v>7.4802945594289127E-2</v>
      </c>
      <c r="G10" s="12"/>
      <c r="H10" s="52"/>
      <c r="I10" s="12"/>
      <c r="J10" s="54"/>
      <c r="K10" s="53" t="s">
        <v>193</v>
      </c>
      <c r="L10" s="99">
        <f t="shared" si="1"/>
        <v>190.147070718675</v>
      </c>
      <c r="M10" s="99">
        <f t="shared" si="1"/>
        <v>176.9134253847223</v>
      </c>
      <c r="N10" s="75">
        <f t="shared" si="1"/>
        <v>7.4802945594289127E-2</v>
      </c>
      <c r="O10" s="12"/>
    </row>
    <row r="11" spans="2:15" x14ac:dyDescent="0.2">
      <c r="B11" s="12"/>
      <c r="C11" s="12"/>
      <c r="D11" s="12"/>
      <c r="E11" s="12"/>
      <c r="F11" s="12"/>
      <c r="G11" s="12"/>
      <c r="H11" s="52"/>
      <c r="I11" s="12"/>
      <c r="J11" s="12"/>
      <c r="K11" s="12"/>
      <c r="L11" s="12"/>
      <c r="M11" s="12"/>
      <c r="N11" s="12"/>
      <c r="O11" s="12"/>
    </row>
  </sheetData>
  <mergeCells count="8">
    <mergeCell ref="J7:K7"/>
    <mergeCell ref="J9:K9"/>
    <mergeCell ref="B5:B6"/>
    <mergeCell ref="F5:F6"/>
    <mergeCell ref="B3:F3"/>
    <mergeCell ref="J3:N3"/>
    <mergeCell ref="J5:J6"/>
    <mergeCell ref="N5:N6"/>
  </mergeCells>
  <pageMargins left="0.7" right="0.7" top="0.75" bottom="0.75" header="0.3" footer="0.3"/>
  <pageSetup scale="99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N16"/>
  <sheetViews>
    <sheetView showGridLines="0" zoomScaleNormal="100" workbookViewId="0">
      <selection activeCell="F7" sqref="F7"/>
    </sheetView>
  </sheetViews>
  <sheetFormatPr baseColWidth="10" defaultRowHeight="12.75" x14ac:dyDescent="0.2"/>
  <cols>
    <col min="3" max="3" width="31.85546875" customWidth="1"/>
    <col min="7" max="7" width="4.5703125" customWidth="1"/>
    <col min="8" max="8" width="2.42578125" style="51" customWidth="1"/>
    <col min="9" max="9" width="3.140625" customWidth="1"/>
    <col min="11" max="11" width="37.140625" customWidth="1"/>
  </cols>
  <sheetData>
    <row r="3" spans="2:14" ht="15.75" x14ac:dyDescent="0.2">
      <c r="B3" s="123" t="s">
        <v>87</v>
      </c>
      <c r="C3" s="123"/>
      <c r="D3" s="123"/>
      <c r="E3" s="123"/>
      <c r="F3" s="123"/>
      <c r="J3" s="123" t="s">
        <v>175</v>
      </c>
      <c r="K3" s="123"/>
      <c r="L3" s="123"/>
      <c r="M3" s="123"/>
      <c r="N3" s="123"/>
    </row>
    <row r="5" spans="2:14" ht="16.5" customHeight="1" x14ac:dyDescent="0.2">
      <c r="B5" s="131" t="s">
        <v>0</v>
      </c>
      <c r="C5" s="18"/>
      <c r="D5" s="1" t="s">
        <v>189</v>
      </c>
      <c r="E5" s="15" t="s">
        <v>1</v>
      </c>
      <c r="F5" s="133" t="s">
        <v>3</v>
      </c>
      <c r="J5" s="131" t="s">
        <v>0</v>
      </c>
      <c r="K5" s="18"/>
      <c r="L5" s="1" t="s">
        <v>189</v>
      </c>
      <c r="M5" s="1" t="s">
        <v>1</v>
      </c>
      <c r="N5" s="127" t="s">
        <v>112</v>
      </c>
    </row>
    <row r="6" spans="2:14" ht="13.5" thickBot="1" x14ac:dyDescent="0.25">
      <c r="B6" s="132"/>
      <c r="C6" s="19"/>
      <c r="D6" s="2" t="s">
        <v>190</v>
      </c>
      <c r="E6" s="16" t="s">
        <v>2</v>
      </c>
      <c r="F6" s="134"/>
      <c r="J6" s="132"/>
      <c r="K6" s="19"/>
      <c r="L6" s="2" t="s">
        <v>190</v>
      </c>
      <c r="M6" s="2" t="s">
        <v>2</v>
      </c>
      <c r="N6" s="128"/>
    </row>
    <row r="7" spans="2:14" ht="13.5" thickBot="1" x14ac:dyDescent="0.25">
      <c r="B7" s="10" t="s">
        <v>19</v>
      </c>
      <c r="C7" s="10"/>
      <c r="D7" s="76">
        <f>+'Main KPIs'!D15</f>
        <v>1827.0797483199799</v>
      </c>
      <c r="E7" s="76">
        <f>+'Main KPIs'!E15</f>
        <v>1800.0964145092184</v>
      </c>
      <c r="F7" s="75">
        <f t="shared" ref="F7:F10" si="0">+D7/E7-1</f>
        <v>1.4989938090687271E-2</v>
      </c>
      <c r="G7" s="12"/>
      <c r="H7" s="52"/>
      <c r="I7" s="12"/>
      <c r="J7" s="124" t="s">
        <v>172</v>
      </c>
      <c r="K7" s="124"/>
      <c r="L7" s="98">
        <f>+D7</f>
        <v>1827.0797483199799</v>
      </c>
      <c r="M7" s="98">
        <f>+E7</f>
        <v>1800.0964145092184</v>
      </c>
      <c r="N7" s="75">
        <f t="shared" ref="N7:N10" si="1">+F7</f>
        <v>1.4989938090687271E-2</v>
      </c>
    </row>
    <row r="8" spans="2:14" ht="13.5" thickBot="1" x14ac:dyDescent="0.25">
      <c r="B8" s="12"/>
      <c r="C8" s="23" t="s">
        <v>5</v>
      </c>
      <c r="D8" s="77">
        <f>+'Main KPIs'!D16</f>
        <v>1827.0797483199799</v>
      </c>
      <c r="E8" s="77">
        <f>+'Main KPIs'!E16</f>
        <v>1800.0964145092184</v>
      </c>
      <c r="F8" s="75">
        <f t="shared" si="0"/>
        <v>1.4989938090687271E-2</v>
      </c>
      <c r="G8" s="12"/>
      <c r="H8" s="52"/>
      <c r="I8" s="12"/>
      <c r="J8" s="32"/>
      <c r="K8" s="53" t="s">
        <v>101</v>
      </c>
      <c r="L8" s="99">
        <f>+D8</f>
        <v>1827.0797483199799</v>
      </c>
      <c r="M8" s="99">
        <f>+E8</f>
        <v>1800.0964145092184</v>
      </c>
      <c r="N8" s="75">
        <f t="shared" si="1"/>
        <v>1.4989938090687271E-2</v>
      </c>
    </row>
    <row r="9" spans="2:14" ht="13.5" thickBot="1" x14ac:dyDescent="0.25">
      <c r="B9" s="117" t="s">
        <v>74</v>
      </c>
      <c r="C9" s="10"/>
      <c r="D9" s="76">
        <f>+'Main KPIs'!D35</f>
        <v>110.84974831997701</v>
      </c>
      <c r="E9" s="76">
        <f>+'Main KPIs'!E35</f>
        <v>111.32341450921848</v>
      </c>
      <c r="F9" s="75">
        <f t="shared" si="0"/>
        <v>-4.2548658009609053E-3</v>
      </c>
      <c r="G9" s="12"/>
      <c r="H9" s="52"/>
      <c r="I9" s="12"/>
      <c r="J9" s="124" t="s">
        <v>135</v>
      </c>
      <c r="K9" s="124"/>
      <c r="L9" s="98">
        <f t="shared" ref="L9:M10" si="2">+D9</f>
        <v>110.84974831997701</v>
      </c>
      <c r="M9" s="98">
        <f t="shared" si="2"/>
        <v>111.32341450921848</v>
      </c>
      <c r="N9" s="75">
        <f t="shared" si="1"/>
        <v>-4.2548658009609053E-3</v>
      </c>
    </row>
    <row r="10" spans="2:14" ht="18" customHeight="1" thickBot="1" x14ac:dyDescent="0.25">
      <c r="B10" s="12"/>
      <c r="C10" s="23" t="s">
        <v>5</v>
      </c>
      <c r="D10" s="77">
        <f>+'Main KPIs'!D36</f>
        <v>110.84974831997701</v>
      </c>
      <c r="E10" s="77">
        <f>+'Main KPIs'!E36</f>
        <v>111.32341450921848</v>
      </c>
      <c r="F10" s="75">
        <f t="shared" si="0"/>
        <v>-4.2548658009609053E-3</v>
      </c>
      <c r="G10" s="12"/>
      <c r="H10" s="52"/>
      <c r="I10" s="12"/>
      <c r="J10" s="54"/>
      <c r="K10" s="33" t="s">
        <v>101</v>
      </c>
      <c r="L10" s="99">
        <f t="shared" si="2"/>
        <v>110.84974831997701</v>
      </c>
      <c r="M10" s="99">
        <f t="shared" si="2"/>
        <v>111.32341450921848</v>
      </c>
      <c r="N10" s="75">
        <f t="shared" si="1"/>
        <v>-4.2548658009609053E-3</v>
      </c>
    </row>
    <row r="11" spans="2:14" x14ac:dyDescent="0.2">
      <c r="B11" s="12"/>
      <c r="C11" s="12"/>
      <c r="D11" s="55"/>
      <c r="E11" s="55"/>
      <c r="F11" s="12"/>
      <c r="G11" s="12"/>
      <c r="H11" s="52"/>
      <c r="I11" s="12"/>
      <c r="J11" s="12"/>
      <c r="K11" s="12"/>
      <c r="L11" s="55"/>
      <c r="M11" s="55"/>
      <c r="N11" s="12"/>
    </row>
    <row r="12" spans="2:14" x14ac:dyDescent="0.2">
      <c r="B12" s="12"/>
      <c r="C12" s="12"/>
      <c r="D12" s="12"/>
      <c r="E12" s="12"/>
      <c r="F12" s="12"/>
      <c r="G12" s="12"/>
      <c r="H12" s="52"/>
      <c r="I12" s="12"/>
      <c r="J12" s="12"/>
      <c r="K12" s="12"/>
      <c r="L12" s="12"/>
      <c r="M12" s="12"/>
      <c r="N12" s="12"/>
    </row>
    <row r="13" spans="2:14" x14ac:dyDescent="0.2">
      <c r="B13" s="12"/>
      <c r="C13" s="12"/>
      <c r="D13" s="12"/>
      <c r="E13" s="12"/>
      <c r="F13" s="12"/>
      <c r="G13" s="12"/>
      <c r="H13" s="52"/>
      <c r="I13" s="12"/>
      <c r="J13" s="12"/>
      <c r="K13" s="12"/>
      <c r="L13" s="12"/>
      <c r="M13" s="12"/>
      <c r="N13" s="12"/>
    </row>
    <row r="14" spans="2:14" x14ac:dyDescent="0.2">
      <c r="B14" s="12"/>
      <c r="C14" s="12"/>
      <c r="D14" s="12"/>
      <c r="E14" s="12"/>
      <c r="F14" s="12"/>
      <c r="G14" s="12"/>
      <c r="H14" s="52"/>
      <c r="I14" s="12"/>
      <c r="J14" s="12"/>
      <c r="K14" s="12"/>
      <c r="L14" s="12"/>
      <c r="M14" s="12"/>
      <c r="N14" s="12"/>
    </row>
    <row r="15" spans="2:14" x14ac:dyDescent="0.2">
      <c r="B15" s="12"/>
      <c r="C15" s="12"/>
      <c r="D15" s="12"/>
      <c r="E15" s="12"/>
      <c r="F15" s="12"/>
      <c r="G15" s="12"/>
      <c r="H15" s="52"/>
      <c r="I15" s="12"/>
      <c r="J15" s="12"/>
      <c r="K15" s="12"/>
      <c r="L15" s="12"/>
      <c r="M15" s="12"/>
      <c r="N15" s="12"/>
    </row>
    <row r="16" spans="2:14" x14ac:dyDescent="0.2">
      <c r="B16" s="12"/>
      <c r="C16" s="12"/>
      <c r="D16" s="12"/>
      <c r="E16" s="12"/>
      <c r="F16" s="12"/>
      <c r="G16" s="12"/>
      <c r="H16" s="52"/>
      <c r="I16" s="12"/>
      <c r="J16" s="12"/>
      <c r="K16" s="12"/>
      <c r="L16" s="12"/>
      <c r="M16" s="12"/>
      <c r="N16" s="12"/>
    </row>
  </sheetData>
  <mergeCells count="8">
    <mergeCell ref="J7:K7"/>
    <mergeCell ref="J9:K9"/>
    <mergeCell ref="B5:B6"/>
    <mergeCell ref="F5:F6"/>
    <mergeCell ref="B3:F3"/>
    <mergeCell ref="J3:N3"/>
    <mergeCell ref="J5:J6"/>
    <mergeCell ref="N5:N6"/>
  </mergeCells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2:U60"/>
  <sheetViews>
    <sheetView showGridLines="0" topLeftCell="A13" zoomScale="90" zoomScaleNormal="90" workbookViewId="0">
      <selection activeCell="F45" sqref="F45"/>
    </sheetView>
  </sheetViews>
  <sheetFormatPr baseColWidth="10" defaultRowHeight="12.75" x14ac:dyDescent="0.2"/>
  <sheetData>
    <row r="12" spans="2:21" ht="13.5" thickBot="1" x14ac:dyDescent="0.25"/>
    <row r="13" spans="2:21" x14ac:dyDescent="0.2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6"/>
    </row>
    <row r="14" spans="2:21" x14ac:dyDescent="0.2">
      <c r="B14" s="37"/>
      <c r="U14" s="38"/>
    </row>
    <row r="15" spans="2:21" x14ac:dyDescent="0.2">
      <c r="B15" s="37"/>
      <c r="U15" s="38"/>
    </row>
    <row r="16" spans="2:21" x14ac:dyDescent="0.2">
      <c r="B16" s="37"/>
      <c r="U16" s="38"/>
    </row>
    <row r="17" spans="2:21" x14ac:dyDescent="0.2">
      <c r="B17" s="37"/>
      <c r="U17" s="38"/>
    </row>
    <row r="18" spans="2:21" x14ac:dyDescent="0.2">
      <c r="B18" s="37"/>
      <c r="U18" s="38"/>
    </row>
    <row r="19" spans="2:21" x14ac:dyDescent="0.2">
      <c r="B19" s="37"/>
      <c r="U19" s="38"/>
    </row>
    <row r="20" spans="2:21" x14ac:dyDescent="0.2">
      <c r="B20" s="37"/>
      <c r="U20" s="38"/>
    </row>
    <row r="21" spans="2:21" x14ac:dyDescent="0.2">
      <c r="B21" s="37"/>
      <c r="U21" s="38"/>
    </row>
    <row r="22" spans="2:21" x14ac:dyDescent="0.2">
      <c r="B22" s="37"/>
      <c r="U22" s="38"/>
    </row>
    <row r="23" spans="2:21" x14ac:dyDescent="0.2">
      <c r="B23" s="37"/>
      <c r="U23" s="38"/>
    </row>
    <row r="24" spans="2:21" x14ac:dyDescent="0.2">
      <c r="B24" s="37"/>
      <c r="U24" s="38"/>
    </row>
    <row r="25" spans="2:21" x14ac:dyDescent="0.2">
      <c r="B25" s="37"/>
      <c r="U25" s="38"/>
    </row>
    <row r="26" spans="2:21" x14ac:dyDescent="0.2">
      <c r="B26" s="37"/>
      <c r="U26" s="38"/>
    </row>
    <row r="27" spans="2:21" x14ac:dyDescent="0.2">
      <c r="B27" s="37"/>
      <c r="U27" s="38"/>
    </row>
    <row r="28" spans="2:21" x14ac:dyDescent="0.2">
      <c r="B28" s="37"/>
      <c r="U28" s="38"/>
    </row>
    <row r="29" spans="2:21" x14ac:dyDescent="0.2">
      <c r="B29" s="37"/>
      <c r="U29" s="38"/>
    </row>
    <row r="30" spans="2:21" x14ac:dyDescent="0.2">
      <c r="B30" s="37"/>
      <c r="U30" s="38"/>
    </row>
    <row r="31" spans="2:21" x14ac:dyDescent="0.2">
      <c r="B31" s="37"/>
      <c r="U31" s="38"/>
    </row>
    <row r="32" spans="2:21" x14ac:dyDescent="0.2">
      <c r="B32" s="37"/>
      <c r="U32" s="38"/>
    </row>
    <row r="33" spans="2:21" x14ac:dyDescent="0.2">
      <c r="B33" s="37"/>
      <c r="U33" s="38"/>
    </row>
    <row r="34" spans="2:21" x14ac:dyDescent="0.2">
      <c r="B34" s="37"/>
      <c r="U34" s="38"/>
    </row>
    <row r="35" spans="2:21" x14ac:dyDescent="0.2">
      <c r="B35" s="37"/>
      <c r="U35" s="38"/>
    </row>
    <row r="36" spans="2:21" x14ac:dyDescent="0.2">
      <c r="B36" s="37"/>
      <c r="U36" s="38"/>
    </row>
    <row r="37" spans="2:21" x14ac:dyDescent="0.2">
      <c r="B37" s="37"/>
      <c r="U37" s="38"/>
    </row>
    <row r="38" spans="2:21" x14ac:dyDescent="0.2">
      <c r="B38" s="37"/>
      <c r="U38" s="38"/>
    </row>
    <row r="39" spans="2:21" x14ac:dyDescent="0.2">
      <c r="B39" s="37"/>
      <c r="U39" s="38"/>
    </row>
    <row r="40" spans="2:21" x14ac:dyDescent="0.2">
      <c r="B40" s="37"/>
      <c r="U40" s="38"/>
    </row>
    <row r="41" spans="2:21" x14ac:dyDescent="0.2">
      <c r="B41" s="37"/>
      <c r="U41" s="38"/>
    </row>
    <row r="42" spans="2:21" x14ac:dyDescent="0.2">
      <c r="B42" s="37"/>
      <c r="U42" s="38"/>
    </row>
    <row r="43" spans="2:21" x14ac:dyDescent="0.2">
      <c r="B43" s="37"/>
      <c r="U43" s="38"/>
    </row>
    <row r="44" spans="2:21" x14ac:dyDescent="0.2">
      <c r="B44" s="37"/>
      <c r="U44" s="38"/>
    </row>
    <row r="45" spans="2:21" x14ac:dyDescent="0.2">
      <c r="B45" s="37"/>
      <c r="U45" s="38"/>
    </row>
    <row r="46" spans="2:21" x14ac:dyDescent="0.2">
      <c r="B46" s="37"/>
      <c r="U46" s="38"/>
    </row>
    <row r="47" spans="2:21" x14ac:dyDescent="0.2">
      <c r="B47" s="37"/>
      <c r="U47" s="38"/>
    </row>
    <row r="48" spans="2:21" x14ac:dyDescent="0.2">
      <c r="B48" s="37"/>
      <c r="U48" s="38"/>
    </row>
    <row r="49" spans="2:21" x14ac:dyDescent="0.2">
      <c r="B49" s="37"/>
      <c r="U49" s="38"/>
    </row>
    <row r="50" spans="2:21" x14ac:dyDescent="0.2">
      <c r="B50" s="37"/>
      <c r="U50" s="38"/>
    </row>
    <row r="51" spans="2:21" x14ac:dyDescent="0.2">
      <c r="B51" s="37"/>
      <c r="U51" s="38"/>
    </row>
    <row r="52" spans="2:21" x14ac:dyDescent="0.2">
      <c r="B52" s="37"/>
      <c r="U52" s="38"/>
    </row>
    <row r="53" spans="2:21" x14ac:dyDescent="0.2">
      <c r="B53" s="37"/>
      <c r="U53" s="38"/>
    </row>
    <row r="54" spans="2:21" x14ac:dyDescent="0.2">
      <c r="B54" s="37"/>
      <c r="U54" s="38"/>
    </row>
    <row r="55" spans="2:21" x14ac:dyDescent="0.2">
      <c r="B55" s="37"/>
      <c r="U55" s="38"/>
    </row>
    <row r="56" spans="2:21" x14ac:dyDescent="0.2">
      <c r="B56" s="37"/>
      <c r="U56" s="38"/>
    </row>
    <row r="57" spans="2:21" x14ac:dyDescent="0.2">
      <c r="B57" s="37"/>
      <c r="U57" s="38"/>
    </row>
    <row r="58" spans="2:21" x14ac:dyDescent="0.2">
      <c r="B58" s="37"/>
      <c r="U58" s="38"/>
    </row>
    <row r="59" spans="2:21" x14ac:dyDescent="0.2">
      <c r="B59" s="37"/>
      <c r="U59" s="38"/>
    </row>
    <row r="60" spans="2:21" ht="13.5" thickBot="1" x14ac:dyDescent="0.25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1"/>
    </row>
  </sheetData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N32"/>
  <sheetViews>
    <sheetView showGridLines="0" zoomScaleNormal="100" workbookViewId="0">
      <selection activeCell="K18" sqref="K18"/>
    </sheetView>
  </sheetViews>
  <sheetFormatPr baseColWidth="10" defaultRowHeight="12.75" x14ac:dyDescent="0.2"/>
  <cols>
    <col min="2" max="2" width="45.5703125" bestFit="1" customWidth="1"/>
    <col min="6" max="7" width="3.42578125" customWidth="1"/>
    <col min="8" max="8" width="2.42578125" style="51" customWidth="1"/>
    <col min="9" max="10" width="3.42578125" customWidth="1"/>
    <col min="11" max="11" width="45.5703125" bestFit="1" customWidth="1"/>
  </cols>
  <sheetData>
    <row r="3" spans="2:14" ht="15.75" x14ac:dyDescent="0.2">
      <c r="B3" s="123" t="s">
        <v>88</v>
      </c>
      <c r="C3" s="123"/>
      <c r="D3" s="123"/>
      <c r="E3" s="123"/>
      <c r="K3" s="123" t="s">
        <v>182</v>
      </c>
      <c r="L3" s="123"/>
      <c r="M3" s="123"/>
      <c r="N3" s="123"/>
    </row>
    <row r="4" spans="2:14" x14ac:dyDescent="0.2">
      <c r="C4" s="14"/>
      <c r="D4" s="14"/>
      <c r="E4" s="14"/>
      <c r="L4" s="14"/>
      <c r="M4" s="14"/>
      <c r="N4" s="14"/>
    </row>
    <row r="5" spans="2:14" ht="36.75" thickBot="1" x14ac:dyDescent="0.25">
      <c r="B5" s="56" t="s">
        <v>0</v>
      </c>
      <c r="C5" s="2" t="s">
        <v>191</v>
      </c>
      <c r="D5" s="2" t="s">
        <v>20</v>
      </c>
      <c r="E5" s="2" t="s">
        <v>3</v>
      </c>
      <c r="K5" s="56" t="s">
        <v>0</v>
      </c>
      <c r="L5" s="2" t="s">
        <v>191</v>
      </c>
      <c r="M5" s="2" t="s">
        <v>20</v>
      </c>
      <c r="N5" s="2" t="s">
        <v>112</v>
      </c>
    </row>
    <row r="6" spans="2:14" ht="13.5" thickBot="1" x14ac:dyDescent="0.25">
      <c r="B6" s="22" t="s">
        <v>19</v>
      </c>
      <c r="C6" s="76">
        <f>6206475/1000</f>
        <v>6206.4750000000004</v>
      </c>
      <c r="D6" s="76">
        <f>5935363/1000</f>
        <v>5935.3630000000003</v>
      </c>
      <c r="E6" s="67">
        <f>+C6/D6-1</f>
        <v>4.5677408441572975E-2</v>
      </c>
      <c r="K6" s="22" t="s">
        <v>115</v>
      </c>
      <c r="L6" s="76">
        <f t="shared" ref="L6:L27" si="0">+C6</f>
        <v>6206.4750000000004</v>
      </c>
      <c r="M6" s="76">
        <f t="shared" ref="M6:M27" si="1">+D6</f>
        <v>5935.3630000000003</v>
      </c>
      <c r="N6" s="67">
        <f t="shared" ref="N6" si="2">+E6</f>
        <v>4.5677408441572975E-2</v>
      </c>
    </row>
    <row r="7" spans="2:14" ht="13.5" thickBot="1" x14ac:dyDescent="0.25">
      <c r="B7" s="22" t="s">
        <v>74</v>
      </c>
      <c r="C7" s="76">
        <f>867186/1000</f>
        <v>867.18600000000004</v>
      </c>
      <c r="D7" s="76">
        <f>833787/1000</f>
        <v>833.78700000000003</v>
      </c>
      <c r="E7" s="67">
        <f t="shared" ref="E7:E22" si="3">+C7/D7-1</f>
        <v>4.0056992973025451E-2</v>
      </c>
      <c r="K7" s="22" t="s">
        <v>135</v>
      </c>
      <c r="L7" s="76">
        <f t="shared" si="0"/>
        <v>867.18600000000004</v>
      </c>
      <c r="M7" s="76">
        <f t="shared" si="1"/>
        <v>833.78700000000003</v>
      </c>
      <c r="N7" s="67">
        <f t="shared" ref="N7:N27" si="4">+E7</f>
        <v>4.0056992973025451E-2</v>
      </c>
    </row>
    <row r="8" spans="2:14" ht="13.5" thickBot="1" x14ac:dyDescent="0.25">
      <c r="B8" s="23" t="s">
        <v>91</v>
      </c>
      <c r="C8" s="77">
        <f>-591443/1000</f>
        <v>-591.44299999999998</v>
      </c>
      <c r="D8" s="77">
        <f>-570754/1000</f>
        <v>-570.75400000000002</v>
      </c>
      <c r="E8" s="67">
        <f t="shared" si="3"/>
        <v>3.6248541403126389E-2</v>
      </c>
      <c r="K8" s="23" t="s">
        <v>128</v>
      </c>
      <c r="L8" s="77">
        <f t="shared" si="0"/>
        <v>-591.44299999999998</v>
      </c>
      <c r="M8" s="77">
        <f t="shared" si="1"/>
        <v>-570.75400000000002</v>
      </c>
      <c r="N8" s="68">
        <f t="shared" si="4"/>
        <v>3.6248541403126389E-2</v>
      </c>
    </row>
    <row r="9" spans="2:14" ht="13.5" thickBot="1" x14ac:dyDescent="0.25">
      <c r="B9" s="23" t="s">
        <v>92</v>
      </c>
      <c r="C9" s="77">
        <f>-33496/1000</f>
        <v>-33.496000000000002</v>
      </c>
      <c r="D9" s="77">
        <f>-33378/1000</f>
        <v>-33.378</v>
      </c>
      <c r="E9" s="67">
        <f t="shared" si="3"/>
        <v>3.5352627479179333E-3</v>
      </c>
      <c r="K9" s="23" t="s">
        <v>129</v>
      </c>
      <c r="L9" s="77">
        <f t="shared" si="0"/>
        <v>-33.496000000000002</v>
      </c>
      <c r="M9" s="77">
        <f t="shared" si="1"/>
        <v>-33.378</v>
      </c>
      <c r="N9" s="68">
        <f t="shared" si="4"/>
        <v>3.5352627479179333E-3</v>
      </c>
    </row>
    <row r="10" spans="2:14" ht="13.5" thickBot="1" x14ac:dyDescent="0.25">
      <c r="B10" s="24" t="s">
        <v>93</v>
      </c>
      <c r="C10" s="77">
        <f>(+'[1]LOGENL YTD'!$C$28+'[1]LOGENL YTD'!$C$29)/1000</f>
        <v>-49.156999999999996</v>
      </c>
      <c r="D10" s="77">
        <f>-46528/1000</f>
        <v>-46.527999999999999</v>
      </c>
      <c r="E10" s="67">
        <f t="shared" si="3"/>
        <v>5.6503610729023324E-2</v>
      </c>
      <c r="K10" s="24" t="s">
        <v>130</v>
      </c>
      <c r="L10" s="77">
        <f t="shared" si="0"/>
        <v>-49.156999999999996</v>
      </c>
      <c r="M10" s="77">
        <f t="shared" si="1"/>
        <v>-46.527999999999999</v>
      </c>
      <c r="N10" s="68">
        <f t="shared" si="4"/>
        <v>5.6503610729023324E-2</v>
      </c>
    </row>
    <row r="11" spans="2:14" ht="13.5" thickBot="1" x14ac:dyDescent="0.25">
      <c r="B11" s="25" t="s">
        <v>94</v>
      </c>
      <c r="C11" s="86">
        <f>+C8+C9+C10</f>
        <v>-674.096</v>
      </c>
      <c r="D11" s="86">
        <f>+D8+D9+D10</f>
        <v>-650.66000000000008</v>
      </c>
      <c r="E11" s="67">
        <f t="shared" si="3"/>
        <v>3.6018811668152129E-2</v>
      </c>
      <c r="K11" s="25" t="s">
        <v>131</v>
      </c>
      <c r="L11" s="86">
        <f t="shared" si="0"/>
        <v>-674.096</v>
      </c>
      <c r="M11" s="86">
        <f t="shared" si="1"/>
        <v>-650.66000000000008</v>
      </c>
      <c r="N11" s="67">
        <f t="shared" si="4"/>
        <v>3.6018811668152129E-2</v>
      </c>
    </row>
    <row r="12" spans="2:14" ht="13.5" thickBot="1" x14ac:dyDescent="0.25">
      <c r="B12" s="22" t="s">
        <v>95</v>
      </c>
      <c r="C12" s="76">
        <f>193090/1000</f>
        <v>193.09</v>
      </c>
      <c r="D12" s="76">
        <f>183127/1000</f>
        <v>183.12700000000001</v>
      </c>
      <c r="E12" s="67">
        <f t="shared" si="3"/>
        <v>5.4404866568010135E-2</v>
      </c>
      <c r="K12" s="22" t="s">
        <v>132</v>
      </c>
      <c r="L12" s="76">
        <f t="shared" si="0"/>
        <v>193.09</v>
      </c>
      <c r="M12" s="76">
        <f t="shared" si="1"/>
        <v>183.12700000000001</v>
      </c>
      <c r="N12" s="67">
        <f t="shared" si="4"/>
        <v>5.4404866568010135E-2</v>
      </c>
    </row>
    <row r="13" spans="2:14" ht="13.5" thickBot="1" x14ac:dyDescent="0.25">
      <c r="B13" s="26" t="s">
        <v>96</v>
      </c>
      <c r="C13" s="46">
        <f>+C12/C7</f>
        <v>0.22266272748868177</v>
      </c>
      <c r="D13" s="46">
        <f>+D12/D7</f>
        <v>0.2196328318863211</v>
      </c>
      <c r="E13" s="27" t="s">
        <v>195</v>
      </c>
      <c r="K13" s="26" t="s">
        <v>133</v>
      </c>
      <c r="L13" s="46">
        <f t="shared" si="0"/>
        <v>0.22266272748868177</v>
      </c>
      <c r="M13" s="46">
        <f t="shared" si="1"/>
        <v>0.2196328318863211</v>
      </c>
      <c r="N13" s="27" t="str">
        <f t="shared" si="4"/>
        <v>30 p.b.</v>
      </c>
    </row>
    <row r="14" spans="2:14" ht="13.5" thickBot="1" x14ac:dyDescent="0.25">
      <c r="B14" s="23" t="s">
        <v>81</v>
      </c>
      <c r="C14" s="95">
        <v>-1.478</v>
      </c>
      <c r="D14" s="77">
        <v>-12.321999999999999</v>
      </c>
      <c r="E14" s="67">
        <f t="shared" si="3"/>
        <v>-0.88005193962019157</v>
      </c>
      <c r="K14" s="23" t="s">
        <v>134</v>
      </c>
      <c r="L14" s="77">
        <f t="shared" si="0"/>
        <v>-1.478</v>
      </c>
      <c r="M14" s="77">
        <f t="shared" si="1"/>
        <v>-12.321999999999999</v>
      </c>
      <c r="N14" s="68">
        <f t="shared" si="4"/>
        <v>-0.88005193962019157</v>
      </c>
    </row>
    <row r="15" spans="2:14" ht="13.5" thickBot="1" x14ac:dyDescent="0.25">
      <c r="B15" s="23" t="s">
        <v>21</v>
      </c>
      <c r="C15" s="95">
        <v>-30.61</v>
      </c>
      <c r="D15" s="77">
        <v>-26.45</v>
      </c>
      <c r="E15" s="67">
        <f t="shared" si="3"/>
        <v>0.15727788279773147</v>
      </c>
      <c r="K15" s="23" t="s">
        <v>116</v>
      </c>
      <c r="L15" s="77">
        <f t="shared" si="0"/>
        <v>-30.61</v>
      </c>
      <c r="M15" s="77">
        <f t="shared" si="1"/>
        <v>-26.45</v>
      </c>
      <c r="N15" s="68">
        <f t="shared" si="4"/>
        <v>0.15727788279773147</v>
      </c>
    </row>
    <row r="16" spans="2:14" ht="13.5" thickBot="1" x14ac:dyDescent="0.25">
      <c r="B16" s="23" t="s">
        <v>22</v>
      </c>
      <c r="C16" s="95">
        <v>5.79</v>
      </c>
      <c r="D16" s="77">
        <v>-9.8000000000000004E-2</v>
      </c>
      <c r="E16" s="67" t="s">
        <v>185</v>
      </c>
      <c r="K16" s="23" t="s">
        <v>117</v>
      </c>
      <c r="L16" s="77">
        <f t="shared" si="0"/>
        <v>5.79</v>
      </c>
      <c r="M16" s="77">
        <f t="shared" si="1"/>
        <v>-9.8000000000000004E-2</v>
      </c>
      <c r="N16" s="68" t="str">
        <f t="shared" si="4"/>
        <v>n.m.</v>
      </c>
    </row>
    <row r="17" spans="2:14" ht="13.5" thickBot="1" x14ac:dyDescent="0.25">
      <c r="B17" s="23" t="s">
        <v>23</v>
      </c>
      <c r="C17" s="95">
        <v>0.99927300000000008</v>
      </c>
      <c r="D17" s="77">
        <v>1.8109999999999999</v>
      </c>
      <c r="E17" s="67">
        <f t="shared" si="3"/>
        <v>-0.44822032026504688</v>
      </c>
      <c r="K17" s="23" t="s">
        <v>118</v>
      </c>
      <c r="L17" s="77">
        <f t="shared" si="0"/>
        <v>0.99927300000000008</v>
      </c>
      <c r="M17" s="77">
        <f t="shared" si="1"/>
        <v>1.8109999999999999</v>
      </c>
      <c r="N17" s="68">
        <f t="shared" si="4"/>
        <v>-0.44822032026504688</v>
      </c>
    </row>
    <row r="18" spans="2:14" ht="13.5" thickBot="1" x14ac:dyDescent="0.25">
      <c r="B18" s="22" t="s">
        <v>24</v>
      </c>
      <c r="C18" s="76">
        <f>167791.27320746/1000</f>
        <v>167.79127320745999</v>
      </c>
      <c r="D18" s="76">
        <f>146068.067786209/1000</f>
        <v>146.06806778620899</v>
      </c>
      <c r="E18" s="67">
        <f t="shared" si="3"/>
        <v>0.14871974244943087</v>
      </c>
      <c r="K18" s="22" t="s">
        <v>199</v>
      </c>
      <c r="L18" s="76">
        <f t="shared" si="0"/>
        <v>167.79127320745999</v>
      </c>
      <c r="M18" s="76">
        <f t="shared" si="1"/>
        <v>146.06806778620899</v>
      </c>
      <c r="N18" s="67">
        <f t="shared" si="4"/>
        <v>0.14871974244943087</v>
      </c>
    </row>
    <row r="19" spans="2:14" ht="13.5" thickBot="1" x14ac:dyDescent="0.25">
      <c r="B19" s="28" t="s">
        <v>25</v>
      </c>
      <c r="C19" s="77">
        <f>52648/1000</f>
        <v>52.648000000000003</v>
      </c>
      <c r="D19" s="77">
        <v>29.271999999999998</v>
      </c>
      <c r="E19" s="67">
        <f t="shared" si="3"/>
        <v>0.79857884667942081</v>
      </c>
      <c r="K19" s="28" t="s">
        <v>119</v>
      </c>
      <c r="L19" s="77">
        <f t="shared" si="0"/>
        <v>52.648000000000003</v>
      </c>
      <c r="M19" s="77">
        <f t="shared" si="1"/>
        <v>29.271999999999998</v>
      </c>
      <c r="N19" s="68">
        <f t="shared" si="4"/>
        <v>0.79857884667942081</v>
      </c>
    </row>
    <row r="20" spans="2:14" ht="13.5" thickBot="1" x14ac:dyDescent="0.25">
      <c r="B20" s="23" t="s">
        <v>26</v>
      </c>
      <c r="C20" s="77">
        <v>-4.673</v>
      </c>
      <c r="D20" s="77">
        <v>-3.8239999999999998</v>
      </c>
      <c r="E20" s="67">
        <f t="shared" si="3"/>
        <v>0.22201882845188292</v>
      </c>
      <c r="K20" s="23" t="s">
        <v>120</v>
      </c>
      <c r="L20" s="77">
        <f t="shared" si="0"/>
        <v>-4.673</v>
      </c>
      <c r="M20" s="77">
        <f t="shared" si="1"/>
        <v>-3.8239999999999998</v>
      </c>
      <c r="N20" s="68">
        <f t="shared" si="4"/>
        <v>0.22201882845188292</v>
      </c>
    </row>
    <row r="21" spans="2:14" ht="13.5" thickBot="1" x14ac:dyDescent="0.25">
      <c r="B21" s="22" t="s">
        <v>27</v>
      </c>
      <c r="C21" s="76">
        <f>215765.519944048/1000</f>
        <v>215.76551994404798</v>
      </c>
      <c r="D21" s="76">
        <f>171516.029083892/1000</f>
        <v>171.51602908389199</v>
      </c>
      <c r="E21" s="67">
        <f t="shared" si="3"/>
        <v>0.25799041113826537</v>
      </c>
      <c r="K21" s="22" t="s">
        <v>121</v>
      </c>
      <c r="L21" s="76">
        <f t="shared" si="0"/>
        <v>215.76551994404798</v>
      </c>
      <c r="M21" s="76">
        <f t="shared" si="1"/>
        <v>171.51602908389199</v>
      </c>
      <c r="N21" s="67">
        <f t="shared" si="4"/>
        <v>0.25799041113826537</v>
      </c>
    </row>
    <row r="22" spans="2:14" ht="13.5" thickBot="1" x14ac:dyDescent="0.25">
      <c r="B22" s="23" t="s">
        <v>28</v>
      </c>
      <c r="C22" s="77">
        <f>-55236.4362796726/1000</f>
        <v>-55.236436279672596</v>
      </c>
      <c r="D22" s="77">
        <f>-43907.4955724466/1000</f>
        <v>-43.907495572446599</v>
      </c>
      <c r="E22" s="67">
        <f t="shared" si="3"/>
        <v>0.2580183761228978</v>
      </c>
      <c r="K22" s="23" t="s">
        <v>122</v>
      </c>
      <c r="L22" s="77">
        <f t="shared" si="0"/>
        <v>-55.236436279672596</v>
      </c>
      <c r="M22" s="77">
        <f t="shared" si="1"/>
        <v>-43.907495572446599</v>
      </c>
      <c r="N22" s="68">
        <f t="shared" si="4"/>
        <v>0.2580183761228978</v>
      </c>
    </row>
    <row r="23" spans="2:14" ht="13.5" thickBot="1" x14ac:dyDescent="0.25">
      <c r="B23" s="26" t="s">
        <v>29</v>
      </c>
      <c r="C23" s="46">
        <f>-C22/C21</f>
        <v>0.25600214665437016</v>
      </c>
      <c r="D23" s="46">
        <f>-D22/D21</f>
        <v>0.25599645588209452</v>
      </c>
      <c r="E23" s="27" t="s">
        <v>196</v>
      </c>
      <c r="K23" s="26" t="s">
        <v>123</v>
      </c>
      <c r="L23" s="46">
        <f t="shared" si="0"/>
        <v>0.25600214665437016</v>
      </c>
      <c r="M23" s="46">
        <f t="shared" si="1"/>
        <v>0.25599645588209452</v>
      </c>
      <c r="N23" s="27" t="str">
        <f t="shared" si="4"/>
        <v>0 p.b.</v>
      </c>
    </row>
    <row r="24" spans="2:14" ht="13.5" thickBot="1" x14ac:dyDescent="0.25">
      <c r="B24" s="23" t="s">
        <v>30</v>
      </c>
      <c r="C24" s="77">
        <v>0</v>
      </c>
      <c r="D24" s="77">
        <v>0</v>
      </c>
      <c r="E24" s="68" t="s">
        <v>185</v>
      </c>
      <c r="K24" s="23" t="s">
        <v>124</v>
      </c>
      <c r="L24" s="77">
        <f t="shared" si="0"/>
        <v>0</v>
      </c>
      <c r="M24" s="77">
        <f t="shared" si="1"/>
        <v>0</v>
      </c>
      <c r="N24" s="68" t="str">
        <f t="shared" si="4"/>
        <v>n.m.</v>
      </c>
    </row>
    <row r="25" spans="2:14" ht="13.5" thickBot="1" x14ac:dyDescent="0.25">
      <c r="B25" s="23" t="s">
        <v>32</v>
      </c>
      <c r="C25" s="77">
        <v>0</v>
      </c>
      <c r="D25" s="77">
        <v>0</v>
      </c>
      <c r="E25" s="68" t="s">
        <v>31</v>
      </c>
      <c r="K25" s="23" t="s">
        <v>125</v>
      </c>
      <c r="L25" s="77">
        <f t="shared" si="0"/>
        <v>0</v>
      </c>
      <c r="M25" s="77">
        <f t="shared" si="1"/>
        <v>0</v>
      </c>
      <c r="N25" s="68" t="str">
        <f t="shared" si="4"/>
        <v>-</v>
      </c>
    </row>
    <row r="26" spans="2:14" ht="13.5" thickBot="1" x14ac:dyDescent="0.25">
      <c r="B26" s="23" t="s">
        <v>33</v>
      </c>
      <c r="C26" s="77">
        <f>-1015.81516618766/1000</f>
        <v>-1.01581516618766</v>
      </c>
      <c r="D26" s="77">
        <v>-1.7649999999999999</v>
      </c>
      <c r="E26" s="68" t="s">
        <v>185</v>
      </c>
      <c r="K26" s="23" t="s">
        <v>126</v>
      </c>
      <c r="L26" s="77">
        <f t="shared" si="0"/>
        <v>-1.01581516618766</v>
      </c>
      <c r="M26" s="77">
        <f t="shared" si="1"/>
        <v>-1.7649999999999999</v>
      </c>
      <c r="N26" s="68" t="str">
        <f t="shared" si="4"/>
        <v>n.m.</v>
      </c>
    </row>
    <row r="27" spans="2:14" ht="13.5" thickBot="1" x14ac:dyDescent="0.25">
      <c r="B27" s="22" t="s">
        <v>34</v>
      </c>
      <c r="C27" s="76">
        <f>159514.492498181/1000</f>
        <v>159.514492498181</v>
      </c>
      <c r="D27" s="76">
        <f>125843.950139565/1000</f>
        <v>125.843950139565</v>
      </c>
      <c r="E27" s="67">
        <f t="shared" ref="E27" si="5">+C27/D27-1</f>
        <v>0.26755789468841606</v>
      </c>
      <c r="K27" s="22" t="s">
        <v>127</v>
      </c>
      <c r="L27" s="76">
        <f t="shared" si="0"/>
        <v>159.514492498181</v>
      </c>
      <c r="M27" s="76">
        <f t="shared" si="1"/>
        <v>125.843950139565</v>
      </c>
      <c r="N27" s="67">
        <f t="shared" si="4"/>
        <v>0.26755789468841606</v>
      </c>
    </row>
    <row r="30" spans="2:14" x14ac:dyDescent="0.2">
      <c r="B30" s="9"/>
      <c r="K30" s="9"/>
    </row>
    <row r="31" spans="2:14" x14ac:dyDescent="0.2">
      <c r="B31" s="21"/>
      <c r="K31" s="21"/>
    </row>
    <row r="32" spans="2:14" x14ac:dyDescent="0.2">
      <c r="E32" s="69"/>
    </row>
  </sheetData>
  <mergeCells count="2">
    <mergeCell ref="B3:E3"/>
    <mergeCell ref="K3:N3"/>
  </mergeCells>
  <hyperlinks>
    <hyperlink ref="K7" location="_ftn1" display="_ftn1" xr:uid="{00000000-0004-0000-0600-000000000000}"/>
  </hyperlinks>
  <pageMargins left="0.7" right="0.7" top="0.75" bottom="0.75" header="0.3" footer="0.3"/>
  <pageSetup scale="94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N21"/>
  <sheetViews>
    <sheetView showGridLines="0" zoomScaleNormal="100" workbookViewId="0">
      <selection activeCell="E7" sqref="E7:E18"/>
    </sheetView>
  </sheetViews>
  <sheetFormatPr baseColWidth="10" defaultRowHeight="12.75" x14ac:dyDescent="0.2"/>
  <cols>
    <col min="2" max="2" width="36.5703125" customWidth="1"/>
    <col min="6" max="7" width="3.42578125" customWidth="1"/>
    <col min="8" max="8" width="2.42578125" style="51" customWidth="1"/>
    <col min="9" max="10" width="3.42578125" customWidth="1"/>
    <col min="11" max="11" width="36.5703125" customWidth="1"/>
  </cols>
  <sheetData>
    <row r="3" spans="2:14" ht="15.75" x14ac:dyDescent="0.2">
      <c r="B3" s="123" t="s">
        <v>89</v>
      </c>
      <c r="C3" s="123"/>
      <c r="D3" s="123"/>
      <c r="E3" s="123"/>
      <c r="K3" s="123" t="s">
        <v>183</v>
      </c>
      <c r="L3" s="123"/>
      <c r="M3" s="123"/>
      <c r="N3" s="123"/>
    </row>
    <row r="5" spans="2:14" ht="12.6" customHeight="1" x14ac:dyDescent="0.2">
      <c r="B5" s="135" t="s">
        <v>0</v>
      </c>
      <c r="C5" s="137" t="s">
        <v>191</v>
      </c>
      <c r="D5" s="137" t="s">
        <v>20</v>
      </c>
      <c r="E5" s="30" t="s">
        <v>35</v>
      </c>
      <c r="K5" s="135" t="s">
        <v>0</v>
      </c>
      <c r="L5" s="137" t="s">
        <v>191</v>
      </c>
      <c r="M5" s="137" t="s">
        <v>20</v>
      </c>
      <c r="N5" s="30" t="s">
        <v>171</v>
      </c>
    </row>
    <row r="6" spans="2:14" ht="12.95" customHeight="1" thickBot="1" x14ac:dyDescent="0.25">
      <c r="B6" s="136"/>
      <c r="C6" s="138"/>
      <c r="D6" s="138"/>
      <c r="E6" s="17" t="s">
        <v>36</v>
      </c>
      <c r="K6" s="136"/>
      <c r="L6" s="138"/>
      <c r="M6" s="138"/>
      <c r="N6" s="17" t="s">
        <v>36</v>
      </c>
    </row>
    <row r="7" spans="2:14" ht="13.5" thickBot="1" x14ac:dyDescent="0.25">
      <c r="B7" s="6" t="s">
        <v>37</v>
      </c>
      <c r="C7" s="76">
        <v>246.44237864245929</v>
      </c>
      <c r="D7" s="76">
        <v>235.214793200581</v>
      </c>
      <c r="E7" s="98">
        <v>11.227585441878205</v>
      </c>
      <c r="K7" s="6" t="s">
        <v>37</v>
      </c>
      <c r="L7" s="76">
        <f>+C7</f>
        <v>246.44237864245929</v>
      </c>
      <c r="M7" s="76">
        <f>+D7</f>
        <v>235.214793200581</v>
      </c>
      <c r="N7" s="80">
        <f>+E7</f>
        <v>11.227585441878205</v>
      </c>
    </row>
    <row r="8" spans="2:14" ht="13.5" thickBot="1" x14ac:dyDescent="0.25">
      <c r="B8" s="61" t="s">
        <v>38</v>
      </c>
      <c r="C8" s="77">
        <v>-10.335783436685885</v>
      </c>
      <c r="D8" s="77">
        <v>-5.0256026300000096</v>
      </c>
      <c r="E8" s="77">
        <v>-5.3101808066858709</v>
      </c>
      <c r="K8" s="61" t="s">
        <v>136</v>
      </c>
      <c r="L8" s="77">
        <f t="shared" ref="L8:L18" si="0">+C8</f>
        <v>-10.335783436685885</v>
      </c>
      <c r="M8" s="77">
        <f t="shared" ref="M8:M18" si="1">+D8</f>
        <v>-5.0256026300000096</v>
      </c>
      <c r="N8" s="77">
        <f t="shared" ref="N8:N18" si="2">+E8</f>
        <v>-5.3101808066858709</v>
      </c>
    </row>
    <row r="9" spans="2:14" ht="13.5" thickBot="1" x14ac:dyDescent="0.25">
      <c r="B9" s="61" t="s">
        <v>39</v>
      </c>
      <c r="C9" s="77">
        <v>51.757068741734798</v>
      </c>
      <c r="D9" s="77">
        <v>28.232858360369999</v>
      </c>
      <c r="E9" s="77">
        <v>23.524210381364792</v>
      </c>
      <c r="K9" s="61" t="s">
        <v>137</v>
      </c>
      <c r="L9" s="77">
        <f t="shared" si="0"/>
        <v>51.757068741734798</v>
      </c>
      <c r="M9" s="77">
        <f t="shared" si="1"/>
        <v>28.232858360369999</v>
      </c>
      <c r="N9" s="77">
        <f t="shared" si="2"/>
        <v>23.524210381364792</v>
      </c>
    </row>
    <row r="10" spans="2:14" ht="13.5" thickBot="1" x14ac:dyDescent="0.25">
      <c r="B10" s="61" t="s">
        <v>40</v>
      </c>
      <c r="C10" s="77">
        <v>-60.340375394275789</v>
      </c>
      <c r="D10" s="77">
        <v>-49.8736166714341</v>
      </c>
      <c r="E10" s="77">
        <v>-10.466758722841682</v>
      </c>
      <c r="K10" s="61" t="s">
        <v>138</v>
      </c>
      <c r="L10" s="77">
        <f t="shared" si="0"/>
        <v>-60.340375394275789</v>
      </c>
      <c r="M10" s="77">
        <f t="shared" si="1"/>
        <v>-49.8736166714341</v>
      </c>
      <c r="N10" s="77">
        <f t="shared" si="2"/>
        <v>-10.466758722841682</v>
      </c>
    </row>
    <row r="11" spans="2:14" ht="13.5" thickBot="1" x14ac:dyDescent="0.25">
      <c r="B11" s="61" t="s">
        <v>41</v>
      </c>
      <c r="C11" s="77">
        <v>-24.541508894320557</v>
      </c>
      <c r="D11" s="77">
        <v>-28.022490427352398</v>
      </c>
      <c r="E11" s="77">
        <v>3.4809815330317413</v>
      </c>
      <c r="K11" s="61" t="s">
        <v>139</v>
      </c>
      <c r="L11" s="77">
        <f t="shared" si="0"/>
        <v>-24.541508894320557</v>
      </c>
      <c r="M11" s="77">
        <f t="shared" si="1"/>
        <v>-28.022490427352398</v>
      </c>
      <c r="N11" s="77">
        <f t="shared" si="2"/>
        <v>3.4809815330317413</v>
      </c>
    </row>
    <row r="12" spans="2:14" ht="13.5" thickBot="1" x14ac:dyDescent="0.25">
      <c r="B12" s="61" t="s">
        <v>42</v>
      </c>
      <c r="C12" s="77">
        <v>-33.458399027770454</v>
      </c>
      <c r="D12" s="77">
        <v>-28.151</v>
      </c>
      <c r="E12" s="77">
        <v>-5.3073990277704546</v>
      </c>
      <c r="K12" s="61" t="s">
        <v>140</v>
      </c>
      <c r="L12" s="77">
        <f t="shared" si="0"/>
        <v>-33.458399027770454</v>
      </c>
      <c r="M12" s="77">
        <f t="shared" si="1"/>
        <v>-28.151</v>
      </c>
      <c r="N12" s="77">
        <f t="shared" si="2"/>
        <v>-5.3073990277704546</v>
      </c>
    </row>
    <row r="13" spans="2:14" ht="13.5" thickBot="1" x14ac:dyDescent="0.25">
      <c r="B13" s="3" t="s">
        <v>43</v>
      </c>
      <c r="C13" s="76">
        <v>169.52338063114144</v>
      </c>
      <c r="D13" s="76">
        <v>152.37494183216455</v>
      </c>
      <c r="E13" s="98">
        <v>17.14843879897677</v>
      </c>
      <c r="K13" s="3" t="s">
        <v>141</v>
      </c>
      <c r="L13" s="76">
        <f t="shared" si="0"/>
        <v>169.52338063114144</v>
      </c>
      <c r="M13" s="76">
        <f t="shared" si="1"/>
        <v>152.37494183216455</v>
      </c>
      <c r="N13" s="80">
        <f t="shared" si="2"/>
        <v>17.14843879897677</v>
      </c>
    </row>
    <row r="14" spans="2:14" ht="13.5" thickBot="1" x14ac:dyDescent="0.25">
      <c r="B14" s="61" t="s">
        <v>44</v>
      </c>
      <c r="C14" s="77">
        <v>-755.54044652376513</v>
      </c>
      <c r="D14" s="77">
        <v>-480.67407688209823</v>
      </c>
      <c r="E14" s="77">
        <v>-274.86636964166763</v>
      </c>
      <c r="K14" s="61" t="s">
        <v>142</v>
      </c>
      <c r="L14" s="77">
        <f t="shared" si="0"/>
        <v>-755.54044652376513</v>
      </c>
      <c r="M14" s="77">
        <f t="shared" si="1"/>
        <v>-480.67407688209823</v>
      </c>
      <c r="N14" s="77">
        <f t="shared" si="2"/>
        <v>-274.86636964166763</v>
      </c>
    </row>
    <row r="15" spans="2:14" ht="13.5" thickBot="1" x14ac:dyDescent="0.25">
      <c r="B15" s="61" t="s">
        <v>45</v>
      </c>
      <c r="C15" s="77">
        <v>28.521775889558572</v>
      </c>
      <c r="D15" s="77">
        <v>26.684294453698488</v>
      </c>
      <c r="E15" s="77">
        <v>1.8374814358600844</v>
      </c>
      <c r="K15" s="61" t="s">
        <v>143</v>
      </c>
      <c r="L15" s="77">
        <f t="shared" si="0"/>
        <v>28.521775889558572</v>
      </c>
      <c r="M15" s="77">
        <f t="shared" si="1"/>
        <v>26.684294453698488</v>
      </c>
      <c r="N15" s="77">
        <f t="shared" si="2"/>
        <v>1.8374814358600844</v>
      </c>
    </row>
    <row r="16" spans="2:14" ht="13.5" thickBot="1" x14ac:dyDescent="0.25">
      <c r="B16" s="61" t="s">
        <v>46</v>
      </c>
      <c r="C16" s="77">
        <v>13.614514899999998</v>
      </c>
      <c r="D16" s="77">
        <v>0.22443421</v>
      </c>
      <c r="E16" s="77">
        <v>13.390080689999998</v>
      </c>
      <c r="K16" s="61" t="s">
        <v>144</v>
      </c>
      <c r="L16" s="77">
        <f t="shared" si="0"/>
        <v>13.614514899999998</v>
      </c>
      <c r="M16" s="77">
        <f t="shared" si="1"/>
        <v>0.22443421</v>
      </c>
      <c r="N16" s="77">
        <f t="shared" si="2"/>
        <v>13.390080689999998</v>
      </c>
    </row>
    <row r="17" spans="2:14" ht="13.5" thickBot="1" x14ac:dyDescent="0.25">
      <c r="B17" s="61" t="s">
        <v>47</v>
      </c>
      <c r="C17" s="77">
        <v>-12.62084977</v>
      </c>
      <c r="D17" s="77">
        <v>-154.02395322787876</v>
      </c>
      <c r="E17" s="77">
        <v>141.40310345787876</v>
      </c>
      <c r="K17" s="61" t="s">
        <v>145</v>
      </c>
      <c r="L17" s="77">
        <f t="shared" si="0"/>
        <v>-12.62084977</v>
      </c>
      <c r="M17" s="77">
        <f t="shared" si="1"/>
        <v>-154.02395322787876</v>
      </c>
      <c r="N17" s="77">
        <f t="shared" si="2"/>
        <v>141.40310345787876</v>
      </c>
    </row>
    <row r="18" spans="2:14" ht="13.5" thickBot="1" x14ac:dyDescent="0.25">
      <c r="B18" s="3" t="s">
        <v>48</v>
      </c>
      <c r="C18" s="76">
        <v>-556.501624873065</v>
      </c>
      <c r="D18" s="76">
        <v>-455.41435961411389</v>
      </c>
      <c r="E18" s="76">
        <v>-101.0872652589519</v>
      </c>
      <c r="K18" s="3" t="s">
        <v>146</v>
      </c>
      <c r="L18" s="76">
        <f t="shared" si="0"/>
        <v>-556.501624873065</v>
      </c>
      <c r="M18" s="76">
        <f t="shared" si="1"/>
        <v>-455.41435961411389</v>
      </c>
      <c r="N18" s="76">
        <f t="shared" si="2"/>
        <v>-101.0872652589519</v>
      </c>
    </row>
    <row r="19" spans="2:14" ht="15" x14ac:dyDescent="0.25">
      <c r="B19" s="31"/>
      <c r="C19" s="78"/>
      <c r="D19" s="78"/>
      <c r="E19" s="81"/>
      <c r="K19" s="31"/>
      <c r="L19" s="29"/>
      <c r="M19" s="29"/>
      <c r="N19" s="31"/>
    </row>
    <row r="20" spans="2:14" x14ac:dyDescent="0.2">
      <c r="C20" s="79"/>
      <c r="D20" s="79"/>
      <c r="E20" s="82"/>
    </row>
    <row r="21" spans="2:14" x14ac:dyDescent="0.2">
      <c r="C21" s="79"/>
      <c r="D21" s="79"/>
      <c r="E21" s="83"/>
    </row>
  </sheetData>
  <mergeCells count="8">
    <mergeCell ref="B5:B6"/>
    <mergeCell ref="D5:D6"/>
    <mergeCell ref="B3:E3"/>
    <mergeCell ref="K3:N3"/>
    <mergeCell ref="K5:K6"/>
    <mergeCell ref="M5:M6"/>
    <mergeCell ref="C5:C6"/>
    <mergeCell ref="L5:L6"/>
  </mergeCells>
  <pageMargins left="0.7" right="0.7" top="0.75" bottom="0.75" header="0.3" footer="0.3"/>
  <pageSetup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L25"/>
  <sheetViews>
    <sheetView showGridLines="0" topLeftCell="A4" zoomScaleNormal="100" workbookViewId="0">
      <selection activeCell="K7" sqref="K7:L25"/>
    </sheetView>
  </sheetViews>
  <sheetFormatPr baseColWidth="10" defaultRowHeight="12.75" x14ac:dyDescent="0.2"/>
  <cols>
    <col min="2" max="2" width="51.85546875" customWidth="1"/>
    <col min="5" max="6" width="3.42578125" customWidth="1"/>
    <col min="7" max="7" width="2.42578125" style="51" customWidth="1"/>
    <col min="8" max="9" width="3.42578125" customWidth="1"/>
    <col min="10" max="10" width="46.7109375" customWidth="1"/>
  </cols>
  <sheetData>
    <row r="3" spans="2:12" ht="15.75" x14ac:dyDescent="0.2">
      <c r="B3" s="123" t="s">
        <v>90</v>
      </c>
      <c r="C3" s="123"/>
      <c r="D3" s="123"/>
      <c r="J3" s="123" t="s">
        <v>100</v>
      </c>
      <c r="K3" s="123"/>
      <c r="L3" s="123"/>
    </row>
    <row r="5" spans="2:12" x14ac:dyDescent="0.2">
      <c r="B5" s="131" t="s">
        <v>0</v>
      </c>
      <c r="C5" s="139">
        <v>45382</v>
      </c>
      <c r="D5" s="139">
        <v>45199</v>
      </c>
      <c r="J5" s="131" t="s">
        <v>0</v>
      </c>
      <c r="K5" s="139">
        <v>45016</v>
      </c>
      <c r="L5" s="139">
        <v>44834</v>
      </c>
    </row>
    <row r="6" spans="2:12" ht="13.5" thickBot="1" x14ac:dyDescent="0.25">
      <c r="B6" s="132"/>
      <c r="C6" s="140">
        <v>2023</v>
      </c>
      <c r="D6" s="140"/>
      <c r="J6" s="132"/>
      <c r="K6" s="140">
        <v>2023</v>
      </c>
      <c r="L6" s="140"/>
    </row>
    <row r="7" spans="2:12" ht="13.5" thickBot="1" x14ac:dyDescent="0.25">
      <c r="B7" s="62" t="s">
        <v>49</v>
      </c>
      <c r="C7" s="118">
        <v>479.81900000000002</v>
      </c>
      <c r="D7" s="118">
        <v>449.74200000000002</v>
      </c>
      <c r="J7" s="62" t="s">
        <v>147</v>
      </c>
      <c r="K7" s="118">
        <f>+C7</f>
        <v>479.81900000000002</v>
      </c>
      <c r="L7" s="118">
        <f>+D7</f>
        <v>449.74200000000002</v>
      </c>
    </row>
    <row r="8" spans="2:12" ht="13.5" thickBot="1" x14ac:dyDescent="0.25">
      <c r="B8" s="60" t="s">
        <v>50</v>
      </c>
      <c r="C8" s="118">
        <v>27.245000000000001</v>
      </c>
      <c r="D8" s="118">
        <v>24.887</v>
      </c>
      <c r="J8" s="60" t="s">
        <v>148</v>
      </c>
      <c r="K8" s="118">
        <f t="shared" ref="K8:K25" si="0">+C8</f>
        <v>27.245000000000001</v>
      </c>
      <c r="L8" s="118">
        <f t="shared" ref="L8:L25" si="1">+D8</f>
        <v>24.887</v>
      </c>
    </row>
    <row r="9" spans="2:12" ht="13.5" thickBot="1" x14ac:dyDescent="0.25">
      <c r="B9" s="60" t="s">
        <v>51</v>
      </c>
      <c r="C9" s="118">
        <v>1017.557</v>
      </c>
      <c r="D9" s="118">
        <v>1010.147</v>
      </c>
      <c r="J9" s="60" t="s">
        <v>149</v>
      </c>
      <c r="K9" s="118">
        <f t="shared" si="0"/>
        <v>1017.557</v>
      </c>
      <c r="L9" s="118">
        <f t="shared" si="1"/>
        <v>1010.147</v>
      </c>
    </row>
    <row r="10" spans="2:12" ht="13.5" thickBot="1" x14ac:dyDescent="0.25">
      <c r="B10" s="60" t="s">
        <v>52</v>
      </c>
      <c r="C10" s="118">
        <v>288.05700000000002</v>
      </c>
      <c r="D10" s="118">
        <v>318.90199999999999</v>
      </c>
      <c r="J10" s="60" t="s">
        <v>150</v>
      </c>
      <c r="K10" s="118">
        <f t="shared" si="0"/>
        <v>288.05700000000002</v>
      </c>
      <c r="L10" s="118">
        <f t="shared" si="1"/>
        <v>318.90199999999999</v>
      </c>
    </row>
    <row r="11" spans="2:12" ht="13.5" thickBot="1" x14ac:dyDescent="0.25">
      <c r="B11" s="60" t="s">
        <v>53</v>
      </c>
      <c r="C11" s="118">
        <v>15.585000000000001</v>
      </c>
      <c r="D11" s="118">
        <v>11.824999999999999</v>
      </c>
      <c r="J11" s="60" t="s">
        <v>151</v>
      </c>
      <c r="K11" s="118">
        <f t="shared" si="0"/>
        <v>15.585000000000001</v>
      </c>
      <c r="L11" s="118">
        <f t="shared" si="1"/>
        <v>11.824999999999999</v>
      </c>
    </row>
    <row r="12" spans="2:12" ht="13.5" thickBot="1" x14ac:dyDescent="0.25">
      <c r="B12" s="60" t="s">
        <v>54</v>
      </c>
      <c r="C12" s="118">
        <v>1657.7739999999999</v>
      </c>
      <c r="D12" s="118">
        <v>1780.5150000000001</v>
      </c>
      <c r="J12" s="60" t="s">
        <v>152</v>
      </c>
      <c r="K12" s="118">
        <f t="shared" si="0"/>
        <v>1657.7739999999999</v>
      </c>
      <c r="L12" s="118">
        <f t="shared" si="1"/>
        <v>1780.5150000000001</v>
      </c>
    </row>
    <row r="13" spans="2:12" ht="13.5" thickBot="1" x14ac:dyDescent="0.25">
      <c r="B13" s="60" t="s">
        <v>55</v>
      </c>
      <c r="C13" s="118">
        <v>2118.7979999999998</v>
      </c>
      <c r="D13" s="118">
        <v>1978.0750000000003</v>
      </c>
      <c r="J13" s="60" t="s">
        <v>153</v>
      </c>
      <c r="K13" s="118">
        <f t="shared" si="0"/>
        <v>2118.7979999999998</v>
      </c>
      <c r="L13" s="118">
        <f t="shared" si="1"/>
        <v>1978.0750000000003</v>
      </c>
    </row>
    <row r="14" spans="2:12" ht="13.5" thickBot="1" x14ac:dyDescent="0.25">
      <c r="B14" s="60" t="s">
        <v>56</v>
      </c>
      <c r="C14" s="118">
        <v>1767.2049999999999</v>
      </c>
      <c r="D14" s="118">
        <v>2483.8240000000001</v>
      </c>
      <c r="J14" s="60" t="s">
        <v>154</v>
      </c>
      <c r="K14" s="118">
        <f t="shared" si="0"/>
        <v>1767.2049999999999</v>
      </c>
      <c r="L14" s="118">
        <f t="shared" si="1"/>
        <v>2483.8240000000001</v>
      </c>
    </row>
    <row r="15" spans="2:12" ht="13.5" thickBot="1" x14ac:dyDescent="0.25">
      <c r="B15" s="60" t="s">
        <v>57</v>
      </c>
      <c r="C15" s="118">
        <v>0.29699999999999999</v>
      </c>
      <c r="D15" s="118">
        <v>3.9460000000000002</v>
      </c>
      <c r="J15" s="60" t="s">
        <v>155</v>
      </c>
      <c r="K15" s="118">
        <f t="shared" si="0"/>
        <v>0.29699999999999999</v>
      </c>
      <c r="L15" s="118">
        <f t="shared" si="1"/>
        <v>3.9460000000000002</v>
      </c>
    </row>
    <row r="16" spans="2:12" ht="13.5" thickBot="1" x14ac:dyDescent="0.25">
      <c r="B16" s="59" t="s">
        <v>58</v>
      </c>
      <c r="C16" s="119">
        <v>7372.3370000000004</v>
      </c>
      <c r="D16" s="119">
        <v>8061.8630000000012</v>
      </c>
      <c r="J16" s="59" t="s">
        <v>156</v>
      </c>
      <c r="K16" s="119">
        <f t="shared" si="0"/>
        <v>7372.3370000000004</v>
      </c>
      <c r="L16" s="119">
        <f t="shared" si="1"/>
        <v>8061.8630000000012</v>
      </c>
    </row>
    <row r="17" spans="2:12" ht="13.5" thickBot="1" x14ac:dyDescent="0.25">
      <c r="B17" s="60" t="s">
        <v>59</v>
      </c>
      <c r="C17" s="118">
        <v>565.73107013399056</v>
      </c>
      <c r="D17" s="118">
        <v>590.70699999999999</v>
      </c>
      <c r="J17" s="60" t="s">
        <v>157</v>
      </c>
      <c r="K17" s="118">
        <f t="shared" si="0"/>
        <v>565.73107013399056</v>
      </c>
      <c r="L17" s="118">
        <f t="shared" si="1"/>
        <v>590.70699999999999</v>
      </c>
    </row>
    <row r="18" spans="2:12" ht="13.5" thickBot="1" x14ac:dyDescent="0.25">
      <c r="B18" s="60" t="s">
        <v>60</v>
      </c>
      <c r="C18" s="118">
        <v>4.973929866009505</v>
      </c>
      <c r="D18" s="118">
        <v>4.6040000000000001</v>
      </c>
      <c r="J18" s="60" t="s">
        <v>158</v>
      </c>
      <c r="K18" s="118">
        <f t="shared" si="0"/>
        <v>4.973929866009505</v>
      </c>
      <c r="L18" s="118">
        <f t="shared" si="1"/>
        <v>4.6040000000000001</v>
      </c>
    </row>
    <row r="19" spans="2:12" ht="13.5" thickBot="1" x14ac:dyDescent="0.25">
      <c r="B19" s="60" t="s">
        <v>61</v>
      </c>
      <c r="C19" s="118">
        <v>271.10000000000002</v>
      </c>
      <c r="D19" s="118">
        <v>246.899</v>
      </c>
      <c r="J19" s="60" t="s">
        <v>159</v>
      </c>
      <c r="K19" s="118">
        <f t="shared" si="0"/>
        <v>271.10000000000002</v>
      </c>
      <c r="L19" s="118">
        <f t="shared" si="1"/>
        <v>246.899</v>
      </c>
    </row>
    <row r="20" spans="2:12" ht="13.5" thickBot="1" x14ac:dyDescent="0.25">
      <c r="B20" s="60" t="s">
        <v>62</v>
      </c>
      <c r="C20" s="118">
        <v>230.1</v>
      </c>
      <c r="D20" s="118">
        <v>235.583</v>
      </c>
      <c r="J20" s="60" t="s">
        <v>160</v>
      </c>
      <c r="K20" s="118">
        <f t="shared" si="0"/>
        <v>230.1</v>
      </c>
      <c r="L20" s="118">
        <f t="shared" si="1"/>
        <v>235.583</v>
      </c>
    </row>
    <row r="21" spans="2:12" ht="13.5" thickBot="1" x14ac:dyDescent="0.25">
      <c r="B21" s="60" t="s">
        <v>63</v>
      </c>
      <c r="C21" s="118">
        <v>94.501999999999995</v>
      </c>
      <c r="D21" s="118">
        <v>96.11</v>
      </c>
      <c r="J21" s="60" t="s">
        <v>161</v>
      </c>
      <c r="K21" s="118">
        <f t="shared" si="0"/>
        <v>94.501999999999995</v>
      </c>
      <c r="L21" s="118">
        <f t="shared" si="1"/>
        <v>96.11</v>
      </c>
    </row>
    <row r="22" spans="2:12" ht="13.5" thickBot="1" x14ac:dyDescent="0.25">
      <c r="B22" s="60" t="s">
        <v>64</v>
      </c>
      <c r="C22" s="118">
        <v>12.757</v>
      </c>
      <c r="D22" s="118">
        <v>16.451000000000001</v>
      </c>
      <c r="J22" s="60" t="s">
        <v>162</v>
      </c>
      <c r="K22" s="118">
        <f t="shared" si="0"/>
        <v>12.757</v>
      </c>
      <c r="L22" s="118">
        <f t="shared" si="1"/>
        <v>16.451000000000001</v>
      </c>
    </row>
    <row r="23" spans="2:12" ht="13.5" thickBot="1" x14ac:dyDescent="0.25">
      <c r="B23" s="60" t="s">
        <v>65</v>
      </c>
      <c r="C23" s="118">
        <v>6193.1729999999998</v>
      </c>
      <c r="D23" s="118">
        <v>6871.509</v>
      </c>
      <c r="J23" s="60" t="s">
        <v>163</v>
      </c>
      <c r="K23" s="118">
        <f t="shared" si="0"/>
        <v>6193.1729999999998</v>
      </c>
      <c r="L23" s="118">
        <f t="shared" si="1"/>
        <v>6871.509</v>
      </c>
    </row>
    <row r="24" spans="2:12" ht="13.5" thickBot="1" x14ac:dyDescent="0.25">
      <c r="B24" s="63" t="s">
        <v>66</v>
      </c>
      <c r="C24" s="120">
        <v>0</v>
      </c>
      <c r="D24" s="120">
        <v>0</v>
      </c>
      <c r="J24" s="63" t="s">
        <v>164</v>
      </c>
      <c r="K24" s="120">
        <f t="shared" si="0"/>
        <v>0</v>
      </c>
      <c r="L24" s="120">
        <f t="shared" si="1"/>
        <v>0</v>
      </c>
    </row>
    <row r="25" spans="2:12" ht="13.5" thickBot="1" x14ac:dyDescent="0.25">
      <c r="B25" s="59" t="s">
        <v>67</v>
      </c>
      <c r="C25" s="119">
        <v>7372.3370000000004</v>
      </c>
      <c r="D25" s="119">
        <v>8061.8630000000003</v>
      </c>
      <c r="J25" s="59" t="s">
        <v>165</v>
      </c>
      <c r="K25" s="119">
        <f t="shared" si="0"/>
        <v>7372.3370000000004</v>
      </c>
      <c r="L25" s="119">
        <f t="shared" si="1"/>
        <v>8061.8630000000003</v>
      </c>
    </row>
  </sheetData>
  <mergeCells count="8">
    <mergeCell ref="B5:B6"/>
    <mergeCell ref="D5:D6"/>
    <mergeCell ref="B3:D3"/>
    <mergeCell ref="J3:L3"/>
    <mergeCell ref="J5:J6"/>
    <mergeCell ref="L5:L6"/>
    <mergeCell ref="C5:C6"/>
    <mergeCell ref="K5:K6"/>
  </mergeCells>
  <pageMargins left="0.7" right="0.7" top="0.75" bottom="0.75" header="0.3" footer="0.3"/>
  <pageSetup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Portrait</vt:lpstr>
      <vt:lpstr>Main KPIs</vt:lpstr>
      <vt:lpstr>Iberia</vt:lpstr>
      <vt:lpstr>Italy</vt:lpstr>
      <vt:lpstr>France</vt:lpstr>
      <vt:lpstr>Appendix</vt:lpstr>
      <vt:lpstr>P&amp;L</vt:lpstr>
      <vt:lpstr>CF</vt:lpstr>
      <vt:lpstr>BS</vt:lpstr>
      <vt:lpstr>APM</vt:lpstr>
      <vt:lpstr>'Main KPIs'!_ftn1</vt:lpstr>
      <vt:lpstr>'Main KPIs'!_ftnref1</vt:lpstr>
      <vt:lpstr>Appendix!Área_de_impresión</vt:lpstr>
      <vt:lpstr>'Main KPIs'!Área_de_impresión</vt:lpstr>
      <vt:lpstr>Portrait!Área_de_impresión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TROYA SMITH</dc:creator>
  <cp:lastModifiedBy>Isabel TROYA SMITH</cp:lastModifiedBy>
  <cp:lastPrinted>2023-04-13T08:16:11Z</cp:lastPrinted>
  <dcterms:created xsi:type="dcterms:W3CDTF">2023-04-11T07:58:29Z</dcterms:created>
  <dcterms:modified xsi:type="dcterms:W3CDTF">2024-05-06T16:31:52Z</dcterms:modified>
</cp:coreProperties>
</file>